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lőterjesztések\2020. ÉV\2020.08.26\pdf\"/>
    </mc:Choice>
  </mc:AlternateContent>
  <bookViews>
    <workbookView xWindow="0" yWindow="0" windowWidth="28800" windowHeight="1230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F7" i="1" l="1"/>
  <c r="F19" i="1" l="1"/>
  <c r="CI14" i="1"/>
  <c r="CI16" i="1"/>
  <c r="CI5" i="1"/>
  <c r="CH17" i="1"/>
  <c r="AJ17" i="1"/>
  <c r="CC16" i="1"/>
  <c r="CC15" i="1"/>
  <c r="CC14" i="1"/>
  <c r="BY14" i="1"/>
  <c r="BY15" i="1"/>
  <c r="BY16" i="1"/>
  <c r="BY5" i="1"/>
  <c r="CC5" i="1"/>
  <c r="BX17" i="1"/>
  <c r="CC17" i="1" s="1"/>
  <c r="BT15" i="1"/>
  <c r="BT16" i="1"/>
  <c r="BJ14" i="1"/>
  <c r="BJ15" i="1"/>
  <c r="BJ16" i="1"/>
  <c r="BJ5" i="1"/>
  <c r="BS17" i="1"/>
  <c r="BN16" i="1" l="1"/>
  <c r="BN15" i="1"/>
  <c r="BN14" i="1"/>
  <c r="BE15" i="1"/>
  <c r="BE16" i="1"/>
  <c r="BE5" i="1"/>
  <c r="BD17" i="1"/>
  <c r="AZ14" i="1"/>
  <c r="AZ15" i="1"/>
  <c r="AZ16" i="1"/>
  <c r="AZ5" i="1"/>
  <c r="AY17" i="1"/>
  <c r="AU5" i="1"/>
  <c r="AU14" i="1"/>
  <c r="AU15" i="1"/>
  <c r="AT17" i="1"/>
  <c r="AP14" i="1"/>
  <c r="AP15" i="1"/>
  <c r="AP16" i="1"/>
  <c r="AK14" i="1"/>
  <c r="AK15" i="1"/>
  <c r="AK16" i="1"/>
  <c r="AP5" i="1"/>
  <c r="AK5" i="1"/>
  <c r="AO17" i="1"/>
  <c r="AF14" i="1"/>
  <c r="AF15" i="1"/>
  <c r="AF16" i="1"/>
  <c r="AF5" i="1"/>
  <c r="AE17" i="1"/>
  <c r="Z16" i="1"/>
  <c r="Z15" i="1"/>
  <c r="Z14" i="1"/>
  <c r="Z5" i="1"/>
  <c r="Q14" i="1"/>
  <c r="Q15" i="1"/>
  <c r="Q16" i="1"/>
  <c r="Q5" i="1"/>
  <c r="P17" i="1"/>
  <c r="L14" i="1"/>
  <c r="L15" i="1"/>
  <c r="L16" i="1"/>
  <c r="L5" i="1"/>
  <c r="K17" i="1"/>
  <c r="G14" i="1"/>
  <c r="G15" i="1"/>
  <c r="G16" i="1"/>
  <c r="G19" i="1"/>
  <c r="F17" i="1"/>
  <c r="CH19" i="1"/>
  <c r="CH18" i="1"/>
  <c r="CI18" i="1" s="1"/>
  <c r="CH11" i="1"/>
  <c r="CH10" i="1"/>
  <c r="CI10" i="1" s="1"/>
  <c r="CH9" i="1"/>
  <c r="CH8" i="1"/>
  <c r="CH7" i="1"/>
  <c r="BX19" i="1"/>
  <c r="BX18" i="1"/>
  <c r="BY18" i="1" s="1"/>
  <c r="BX11" i="1"/>
  <c r="BY11" i="1" s="1"/>
  <c r="BX10" i="1"/>
  <c r="BX9" i="1"/>
  <c r="BY9" i="1" s="1"/>
  <c r="BX8" i="1"/>
  <c r="BY8" i="1" s="1"/>
  <c r="BX7" i="1"/>
  <c r="BS19" i="1"/>
  <c r="CC19" i="1" s="1"/>
  <c r="BS18" i="1"/>
  <c r="BT18" i="1" s="1"/>
  <c r="BS11" i="1"/>
  <c r="BT11" i="1" s="1"/>
  <c r="BS10" i="1"/>
  <c r="BT10" i="1" s="1"/>
  <c r="BT9" i="1"/>
  <c r="BS8" i="1"/>
  <c r="BT8" i="1" s="1"/>
  <c r="BS7" i="1"/>
  <c r="CC7" i="1" s="1"/>
  <c r="BI19" i="1"/>
  <c r="BJ19" i="1" s="1"/>
  <c r="BI18" i="1"/>
  <c r="BJ18" i="1" s="1"/>
  <c r="BI11" i="1"/>
  <c r="BI10" i="1"/>
  <c r="BJ10" i="1" s="1"/>
  <c r="BI9" i="1"/>
  <c r="BJ9" i="1" s="1"/>
  <c r="BI8" i="1"/>
  <c r="BJ8" i="1" s="1"/>
  <c r="BI7" i="1"/>
  <c r="BD19" i="1"/>
  <c r="BE19" i="1" s="1"/>
  <c r="BD18" i="1"/>
  <c r="BE18" i="1" s="1"/>
  <c r="BD11" i="1"/>
  <c r="BE11" i="1" s="1"/>
  <c r="BD10" i="1"/>
  <c r="BE10" i="1" s="1"/>
  <c r="BD9" i="1"/>
  <c r="BD8" i="1"/>
  <c r="BD7" i="1"/>
  <c r="AY19" i="1"/>
  <c r="AZ19" i="1" s="1"/>
  <c r="AY18" i="1"/>
  <c r="AZ18" i="1" s="1"/>
  <c r="AY11" i="1"/>
  <c r="AY10" i="1"/>
  <c r="AZ10" i="1" s="1"/>
  <c r="AY9" i="1"/>
  <c r="AZ9" i="1" s="1"/>
  <c r="AY8" i="1"/>
  <c r="AZ8" i="1" s="1"/>
  <c r="AY7" i="1"/>
  <c r="AT19" i="1"/>
  <c r="AT18" i="1"/>
  <c r="AU18" i="1" s="1"/>
  <c r="AT11" i="1"/>
  <c r="AU11" i="1" s="1"/>
  <c r="AT10" i="1"/>
  <c r="AT9" i="1"/>
  <c r="AU9" i="1" s="1"/>
  <c r="AT8" i="1"/>
  <c r="AU8" i="1" s="1"/>
  <c r="AT7" i="1"/>
  <c r="AO19" i="1"/>
  <c r="AO18" i="1"/>
  <c r="AP18" i="1" s="1"/>
  <c r="AO11" i="1"/>
  <c r="AP11" i="1" s="1"/>
  <c r="AO10" i="1"/>
  <c r="AO9" i="1"/>
  <c r="AP9" i="1" s="1"/>
  <c r="AO8" i="1"/>
  <c r="AP8" i="1" s="1"/>
  <c r="AO7" i="1"/>
  <c r="AJ19" i="1"/>
  <c r="AJ18" i="1"/>
  <c r="AK18" i="1" s="1"/>
  <c r="AJ11" i="1"/>
  <c r="AK11" i="1" s="1"/>
  <c r="AJ10" i="1"/>
  <c r="AK10" i="1" s="1"/>
  <c r="AJ9" i="1"/>
  <c r="AJ8" i="1"/>
  <c r="AJ7" i="1"/>
  <c r="AE19" i="1"/>
  <c r="AF19" i="1" s="1"/>
  <c r="AE18" i="1"/>
  <c r="AF18" i="1" s="1"/>
  <c r="AE11" i="1"/>
  <c r="AF11" i="1" s="1"/>
  <c r="AE10" i="1"/>
  <c r="BN10" i="1" s="1"/>
  <c r="AE9" i="1"/>
  <c r="AF9" i="1" s="1"/>
  <c r="AE8" i="1"/>
  <c r="BN8" i="1" s="1"/>
  <c r="AE7" i="1"/>
  <c r="BN7" i="1" s="1"/>
  <c r="U19" i="1"/>
  <c r="U18" i="1"/>
  <c r="V18" i="1" s="1"/>
  <c r="U11" i="1"/>
  <c r="U10" i="1"/>
  <c r="U9" i="1"/>
  <c r="U8" i="1"/>
  <c r="U7" i="1"/>
  <c r="V7" i="1" s="1"/>
  <c r="P19" i="1"/>
  <c r="P18" i="1"/>
  <c r="Q18" i="1" s="1"/>
  <c r="P11" i="1"/>
  <c r="Q11" i="1" s="1"/>
  <c r="P10" i="1"/>
  <c r="P9" i="1"/>
  <c r="P8" i="1"/>
  <c r="P7" i="1"/>
  <c r="Q7" i="1" s="1"/>
  <c r="K19" i="1"/>
  <c r="L19" i="1" s="1"/>
  <c r="K18" i="1"/>
  <c r="L18" i="1" s="1"/>
  <c r="K11" i="1"/>
  <c r="CM11" i="1" s="1"/>
  <c r="K10" i="1"/>
  <c r="L10" i="1" s="1"/>
  <c r="K9" i="1"/>
  <c r="L9" i="1" s="1"/>
  <c r="K8" i="1"/>
  <c r="L8" i="1" s="1"/>
  <c r="K7" i="1"/>
  <c r="Z7" i="1" s="1"/>
  <c r="F18" i="1"/>
  <c r="Z18" i="1" s="1"/>
  <c r="F11" i="1"/>
  <c r="Z11" i="1" s="1"/>
  <c r="F10" i="1"/>
  <c r="Z10" i="1" s="1"/>
  <c r="F9" i="1"/>
  <c r="Z9" i="1" s="1"/>
  <c r="F8" i="1"/>
  <c r="G8" i="1" s="1"/>
  <c r="AO13" i="1"/>
  <c r="G5" i="1"/>
  <c r="CL6" i="1"/>
  <c r="CM6" i="1"/>
  <c r="CL7" i="1"/>
  <c r="CL8" i="1"/>
  <c r="CL9" i="1"/>
  <c r="CL10" i="1"/>
  <c r="CL11" i="1"/>
  <c r="CL12" i="1"/>
  <c r="CM12" i="1"/>
  <c r="CL14" i="1"/>
  <c r="CM14" i="1"/>
  <c r="CL15" i="1"/>
  <c r="CM15" i="1"/>
  <c r="CL16" i="1"/>
  <c r="CM16" i="1"/>
  <c r="CL18" i="1"/>
  <c r="CL19" i="1"/>
  <c r="CL22" i="1"/>
  <c r="CM22" i="1"/>
  <c r="CM5" i="1"/>
  <c r="Z19" i="1" l="1"/>
  <c r="CC9" i="1"/>
  <c r="G18" i="1"/>
  <c r="G9" i="1"/>
  <c r="U13" i="1"/>
  <c r="BD13" i="1"/>
  <c r="Z17" i="1"/>
  <c r="BN9" i="1"/>
  <c r="BN13" i="1" s="1"/>
  <c r="BN19" i="1"/>
  <c r="U20" i="1"/>
  <c r="CI7" i="1"/>
  <c r="AY13" i="1"/>
  <c r="Z8" i="1"/>
  <c r="BN11" i="1"/>
  <c r="CC11" i="1"/>
  <c r="G7" i="1"/>
  <c r="L11" i="1"/>
  <c r="BN17" i="1"/>
  <c r="CM8" i="1"/>
  <c r="AT13" i="1"/>
  <c r="AO20" i="1"/>
  <c r="BD20" i="1"/>
  <c r="BD21" i="1" s="1"/>
  <c r="BD23" i="1" s="1"/>
  <c r="CH13" i="1"/>
  <c r="CI11" i="1"/>
  <c r="AE13" i="1"/>
  <c r="BN18" i="1"/>
  <c r="CC18" i="1"/>
  <c r="G10" i="1"/>
  <c r="AY20" i="1"/>
  <c r="P13" i="1"/>
  <c r="G11" i="1"/>
  <c r="AF10" i="1"/>
  <c r="BJ7" i="1"/>
  <c r="CM18" i="1"/>
  <c r="CM9" i="1"/>
  <c r="CM19" i="1"/>
  <c r="CN19" i="1" s="1"/>
  <c r="CM10" i="1"/>
  <c r="BX13" i="1"/>
  <c r="CC8" i="1"/>
  <c r="BT7" i="1"/>
  <c r="BS20" i="1"/>
  <c r="BX20" i="1"/>
  <c r="BY7" i="1"/>
  <c r="BI13" i="1"/>
  <c r="BI20" i="1" s="1"/>
  <c r="CC10" i="1"/>
  <c r="F13" i="1"/>
  <c r="CM17" i="1"/>
  <c r="CM7" i="1"/>
  <c r="BS13" i="1"/>
  <c r="AJ13" i="1"/>
  <c r="AJ20" i="1" s="1"/>
  <c r="K13" i="1"/>
  <c r="K20" i="1" s="1"/>
  <c r="CK6" i="1"/>
  <c r="CK10" i="1"/>
  <c r="CK11" i="1"/>
  <c r="CN11" i="1" s="1"/>
  <c r="CK12" i="1"/>
  <c r="CK16" i="1"/>
  <c r="CN16" i="1" s="1"/>
  <c r="CK18" i="1"/>
  <c r="CK19" i="1"/>
  <c r="CK22" i="1"/>
  <c r="CL5" i="1"/>
  <c r="CG17" i="1"/>
  <c r="CG13" i="1"/>
  <c r="CB6" i="1"/>
  <c r="CB7" i="1"/>
  <c r="CB8" i="1"/>
  <c r="CB9" i="1"/>
  <c r="CB10" i="1"/>
  <c r="CB11" i="1"/>
  <c r="CB12" i="1"/>
  <c r="CB14" i="1"/>
  <c r="CB15" i="1"/>
  <c r="CB16" i="1"/>
  <c r="CB18" i="1"/>
  <c r="CB19" i="1"/>
  <c r="CB22" i="1"/>
  <c r="CB5" i="1"/>
  <c r="BW17" i="1"/>
  <c r="BW13" i="1"/>
  <c r="BR17" i="1"/>
  <c r="CB17" i="1" s="1"/>
  <c r="BR13" i="1"/>
  <c r="BL6" i="1"/>
  <c r="BM6" i="1"/>
  <c r="BM7" i="1"/>
  <c r="BM8" i="1"/>
  <c r="BM9" i="1"/>
  <c r="BL10" i="1"/>
  <c r="BO10" i="1" s="1"/>
  <c r="BM10" i="1"/>
  <c r="BL11" i="1"/>
  <c r="BM11" i="1"/>
  <c r="BL12" i="1"/>
  <c r="BM12" i="1"/>
  <c r="BM14" i="1"/>
  <c r="BL15" i="1"/>
  <c r="BO15" i="1" s="1"/>
  <c r="BM15" i="1"/>
  <c r="BL16" i="1"/>
  <c r="BO16" i="1" s="1"/>
  <c r="BM16" i="1"/>
  <c r="BL18" i="1"/>
  <c r="BM18" i="1"/>
  <c r="BL19" i="1"/>
  <c r="BO19" i="1" s="1"/>
  <c r="BM19" i="1"/>
  <c r="BL22" i="1"/>
  <c r="BM22" i="1"/>
  <c r="BM5" i="1"/>
  <c r="BH17" i="1"/>
  <c r="BH13" i="1"/>
  <c r="BH20" i="1" s="1"/>
  <c r="BH21" i="1" s="1"/>
  <c r="BH23" i="1" s="1"/>
  <c r="BC20" i="1"/>
  <c r="BC21" i="1" s="1"/>
  <c r="BC23" i="1" s="1"/>
  <c r="BC17" i="1"/>
  <c r="BC13" i="1"/>
  <c r="AX17" i="1"/>
  <c r="AX13" i="1"/>
  <c r="AS17" i="1"/>
  <c r="AS13" i="1"/>
  <c r="AI17" i="1"/>
  <c r="AI20" i="1" s="1"/>
  <c r="AI21" i="1" s="1"/>
  <c r="AI23" i="1" s="1"/>
  <c r="AI13" i="1"/>
  <c r="AN17" i="1"/>
  <c r="AN13" i="1"/>
  <c r="AD20" i="1"/>
  <c r="AD21" i="1" s="1"/>
  <c r="AD23" i="1" s="1"/>
  <c r="AD17" i="1"/>
  <c r="AD13" i="1"/>
  <c r="Y6" i="1"/>
  <c r="Y7" i="1"/>
  <c r="Y8" i="1"/>
  <c r="Y9" i="1"/>
  <c r="Y10" i="1"/>
  <c r="Y11" i="1"/>
  <c r="Y12" i="1"/>
  <c r="Y14" i="1"/>
  <c r="Y15" i="1"/>
  <c r="Y16" i="1"/>
  <c r="Y18" i="1"/>
  <c r="Y19" i="1"/>
  <c r="Y22" i="1"/>
  <c r="Y5" i="1"/>
  <c r="O17" i="1"/>
  <c r="O13" i="1"/>
  <c r="O20" i="1" s="1"/>
  <c r="O21" i="1" s="1"/>
  <c r="O23" i="1" s="1"/>
  <c r="T17" i="1"/>
  <c r="T13" i="1"/>
  <c r="J17" i="1"/>
  <c r="J13" i="1"/>
  <c r="E17" i="1"/>
  <c r="Y17" i="1" s="1"/>
  <c r="E13" i="1"/>
  <c r="BO18" i="1" l="1"/>
  <c r="BR20" i="1"/>
  <c r="BR21" i="1" s="1"/>
  <c r="BR23" i="1" s="1"/>
  <c r="BM13" i="1"/>
  <c r="CL13" i="1"/>
  <c r="BW20" i="1"/>
  <c r="BW21" i="1" s="1"/>
  <c r="BW23" i="1" s="1"/>
  <c r="BM17" i="1"/>
  <c r="AY21" i="1"/>
  <c r="K21" i="1"/>
  <c r="P20" i="1"/>
  <c r="Z13" i="1"/>
  <c r="AE20" i="1"/>
  <c r="AO21" i="1"/>
  <c r="CB21" i="1"/>
  <c r="CB13" i="1"/>
  <c r="CG20" i="1"/>
  <c r="CG21" i="1" s="1"/>
  <c r="CG23" i="1" s="1"/>
  <c r="F20" i="1"/>
  <c r="AS20" i="1"/>
  <c r="AS21" i="1" s="1"/>
  <c r="AS23" i="1" s="1"/>
  <c r="CN10" i="1"/>
  <c r="BO11" i="1"/>
  <c r="AT20" i="1"/>
  <c r="T20" i="1"/>
  <c r="T21" i="1" s="1"/>
  <c r="T23" i="1" s="1"/>
  <c r="Y13" i="1"/>
  <c r="BS21" i="1"/>
  <c r="CC20" i="1"/>
  <c r="BX21" i="1"/>
  <c r="CC13" i="1"/>
  <c r="AJ21" i="1"/>
  <c r="BI21" i="1"/>
  <c r="U21" i="1"/>
  <c r="E20" i="1"/>
  <c r="CL17" i="1"/>
  <c r="CD10" i="1"/>
  <c r="AN20" i="1"/>
  <c r="AX20" i="1"/>
  <c r="AX21" i="1" s="1"/>
  <c r="AX23" i="1" s="1"/>
  <c r="CM13" i="1"/>
  <c r="J20" i="1"/>
  <c r="J21" i="1" s="1"/>
  <c r="J23" i="1" s="1"/>
  <c r="CN18" i="1"/>
  <c r="CH20" i="1"/>
  <c r="CJ6" i="1"/>
  <c r="CJ7" i="1"/>
  <c r="CJ8" i="1"/>
  <c r="CJ10" i="1"/>
  <c r="CJ11" i="1"/>
  <c r="CJ12" i="1"/>
  <c r="CJ14" i="1"/>
  <c r="CJ15" i="1"/>
  <c r="CJ16" i="1"/>
  <c r="CJ19" i="1"/>
  <c r="CJ22" i="1"/>
  <c r="CF15" i="1"/>
  <c r="CF9" i="1"/>
  <c r="CI9" i="1" s="1"/>
  <c r="CF8" i="1"/>
  <c r="CI8" i="1" s="1"/>
  <c r="CA6" i="1"/>
  <c r="CA7" i="1"/>
  <c r="CD7" i="1" s="1"/>
  <c r="CA8" i="1"/>
  <c r="CD8" i="1" s="1"/>
  <c r="CA9" i="1"/>
  <c r="CD9" i="1" s="1"/>
  <c r="CA10" i="1"/>
  <c r="CA11" i="1"/>
  <c r="CD11" i="1" s="1"/>
  <c r="CA12" i="1"/>
  <c r="CA15" i="1"/>
  <c r="CD15" i="1" s="1"/>
  <c r="CA16" i="1"/>
  <c r="CD16" i="1" s="1"/>
  <c r="CA18" i="1"/>
  <c r="CD18" i="1" s="1"/>
  <c r="CA19" i="1"/>
  <c r="CA22" i="1"/>
  <c r="BZ6" i="1"/>
  <c r="BZ7" i="1"/>
  <c r="BZ8" i="1"/>
  <c r="BZ9" i="1"/>
  <c r="BZ10" i="1"/>
  <c r="BZ11" i="1"/>
  <c r="BZ12" i="1"/>
  <c r="BZ14" i="1"/>
  <c r="BZ15" i="1"/>
  <c r="BZ16" i="1"/>
  <c r="BZ18" i="1"/>
  <c r="BZ19" i="1"/>
  <c r="BZ22" i="1"/>
  <c r="BZ5" i="1"/>
  <c r="BV17" i="1"/>
  <c r="BV13" i="1"/>
  <c r="BY13" i="1" s="1"/>
  <c r="BQ14" i="1"/>
  <c r="BQ13" i="1"/>
  <c r="BT13" i="1" s="1"/>
  <c r="BQ5" i="1"/>
  <c r="BL5" i="1"/>
  <c r="BO5" i="1" s="1"/>
  <c r="BK6" i="1"/>
  <c r="BK7" i="1"/>
  <c r="BK8" i="1"/>
  <c r="BK9" i="1"/>
  <c r="BK10" i="1"/>
  <c r="BK11" i="1"/>
  <c r="BK12" i="1"/>
  <c r="BK14" i="1"/>
  <c r="BK15" i="1"/>
  <c r="BK16" i="1"/>
  <c r="BK18" i="1"/>
  <c r="BK19" i="1"/>
  <c r="BK22" i="1"/>
  <c r="BK5" i="1"/>
  <c r="BG17" i="1"/>
  <c r="BJ17" i="1" s="1"/>
  <c r="BG13" i="1"/>
  <c r="BJ13" i="1" s="1"/>
  <c r="BB14" i="1"/>
  <c r="BB17" i="1" s="1"/>
  <c r="BE17" i="1" s="1"/>
  <c r="BB9" i="1"/>
  <c r="BE9" i="1" s="1"/>
  <c r="BB8" i="1"/>
  <c r="BE8" i="1" s="1"/>
  <c r="BB7" i="1"/>
  <c r="AW17" i="1"/>
  <c r="AZ17" i="1" s="1"/>
  <c r="AW13" i="1"/>
  <c r="AR17" i="1"/>
  <c r="AU17" i="1" s="1"/>
  <c r="AR13" i="1"/>
  <c r="AU13" i="1" s="1"/>
  <c r="AM17" i="1"/>
  <c r="AP17" i="1" s="1"/>
  <c r="AM13" i="1"/>
  <c r="AP13" i="1" s="1"/>
  <c r="AH17" i="1"/>
  <c r="AK17" i="1" s="1"/>
  <c r="AH13" i="1"/>
  <c r="AH20" i="1" s="1"/>
  <c r="AH9" i="1"/>
  <c r="AH8" i="1"/>
  <c r="AK8" i="1" s="1"/>
  <c r="AC17" i="1"/>
  <c r="AC13" i="1"/>
  <c r="AF13" i="1" s="1"/>
  <c r="AC8" i="1"/>
  <c r="CB20" i="1" l="1"/>
  <c r="AR20" i="1"/>
  <c r="AR21" i="1" s="1"/>
  <c r="AR23" i="1" s="1"/>
  <c r="AW20" i="1"/>
  <c r="CB23" i="1"/>
  <c r="AH21" i="1"/>
  <c r="AH23" i="1" s="1"/>
  <c r="AK20" i="1"/>
  <c r="AW21" i="1"/>
  <c r="AW23" i="1" s="1"/>
  <c r="AZ20" i="1"/>
  <c r="P21" i="1"/>
  <c r="BE14" i="1"/>
  <c r="CK14" i="1"/>
  <c r="CN14" i="1" s="1"/>
  <c r="BL14" i="1"/>
  <c r="BO14" i="1" s="1"/>
  <c r="BT5" i="1"/>
  <c r="U23" i="1"/>
  <c r="Z20" i="1"/>
  <c r="F21" i="1"/>
  <c r="CM20" i="1"/>
  <c r="AK9" i="1"/>
  <c r="BL9" i="1"/>
  <c r="BO9" i="1" s="1"/>
  <c r="BX23" i="1"/>
  <c r="CF17" i="1"/>
  <c r="CI17" i="1" s="1"/>
  <c r="CI15" i="1"/>
  <c r="CK15" i="1"/>
  <c r="CN15" i="1" s="1"/>
  <c r="CH21" i="1"/>
  <c r="E21" i="1"/>
  <c r="CL20" i="1"/>
  <c r="Y20" i="1"/>
  <c r="BB13" i="1"/>
  <c r="BL13" i="1" s="1"/>
  <c r="BO13" i="1" s="1"/>
  <c r="CK5" i="1"/>
  <c r="CN5" i="1" s="1"/>
  <c r="AZ13" i="1"/>
  <c r="CC21" i="1"/>
  <c r="AF17" i="1"/>
  <c r="BL17" i="1"/>
  <c r="BO17" i="1" s="1"/>
  <c r="AM20" i="1"/>
  <c r="CF13" i="1"/>
  <c r="AK13" i="1"/>
  <c r="AC20" i="1"/>
  <c r="CK7" i="1"/>
  <c r="CN7" i="1" s="1"/>
  <c r="BL7" i="1"/>
  <c r="BO7" i="1" s="1"/>
  <c r="BE7" i="1"/>
  <c r="BV20" i="1"/>
  <c r="BY17" i="1"/>
  <c r="AJ23" i="1"/>
  <c r="AK23" i="1" s="1"/>
  <c r="AK21" i="1"/>
  <c r="AE21" i="1"/>
  <c r="BN20" i="1"/>
  <c r="AZ21" i="1"/>
  <c r="AY23" i="1"/>
  <c r="AF8" i="1"/>
  <c r="BL8" i="1"/>
  <c r="BO8" i="1" s="1"/>
  <c r="BS23" i="1"/>
  <c r="K23" i="1"/>
  <c r="BQ17" i="1"/>
  <c r="BQ20" i="1" s="1"/>
  <c r="BT14" i="1"/>
  <c r="AN21" i="1"/>
  <c r="BM20" i="1"/>
  <c r="BI23" i="1"/>
  <c r="AU20" i="1"/>
  <c r="AT21" i="1"/>
  <c r="AO23" i="1"/>
  <c r="CA13" i="1"/>
  <c r="CD13" i="1" s="1"/>
  <c r="BG20" i="1"/>
  <c r="CA14" i="1"/>
  <c r="CD14" i="1" s="1"/>
  <c r="CA5" i="1"/>
  <c r="CD5" i="1" s="1"/>
  <c r="X6" i="1"/>
  <c r="X7" i="1"/>
  <c r="AA7" i="1" s="1"/>
  <c r="X10" i="1"/>
  <c r="AA10" i="1" s="1"/>
  <c r="X11" i="1"/>
  <c r="AA11" i="1" s="1"/>
  <c r="X12" i="1"/>
  <c r="X14" i="1"/>
  <c r="AA14" i="1" s="1"/>
  <c r="X15" i="1"/>
  <c r="AA15" i="1" s="1"/>
  <c r="X16" i="1"/>
  <c r="AA16" i="1" s="1"/>
  <c r="X18" i="1"/>
  <c r="AA18" i="1" s="1"/>
  <c r="X19" i="1"/>
  <c r="AA19" i="1" s="1"/>
  <c r="X22" i="1"/>
  <c r="X5" i="1"/>
  <c r="AA5" i="1" s="1"/>
  <c r="N17" i="1"/>
  <c r="Q17" i="1" s="1"/>
  <c r="N9" i="1"/>
  <c r="N8" i="1"/>
  <c r="X8" i="1" s="1"/>
  <c r="AA8" i="1" s="1"/>
  <c r="S17" i="1"/>
  <c r="S9" i="1"/>
  <c r="V9" i="1" s="1"/>
  <c r="W6" i="1"/>
  <c r="W7" i="1"/>
  <c r="W8" i="1"/>
  <c r="W10" i="1"/>
  <c r="W11" i="1"/>
  <c r="W12" i="1"/>
  <c r="W14" i="1"/>
  <c r="W15" i="1"/>
  <c r="W16" i="1"/>
  <c r="W19" i="1"/>
  <c r="W22" i="1"/>
  <c r="W5" i="1"/>
  <c r="I17" i="1"/>
  <c r="L17" i="1" s="1"/>
  <c r="I13" i="1"/>
  <c r="L13" i="1" s="1"/>
  <c r="D17" i="1"/>
  <c r="D13" i="1"/>
  <c r="D20" i="1" s="1"/>
  <c r="CJ5" i="1"/>
  <c r="BU17" i="1"/>
  <c r="BU13" i="1"/>
  <c r="BU20" i="1" s="1"/>
  <c r="BU21" i="1" s="1"/>
  <c r="BU23" i="1" s="1"/>
  <c r="BP20" i="1"/>
  <c r="BP17" i="1"/>
  <c r="BP13" i="1"/>
  <c r="BF17" i="1"/>
  <c r="BF13" i="1"/>
  <c r="BF20" i="1" s="1"/>
  <c r="BF21" i="1" s="1"/>
  <c r="BF23" i="1" s="1"/>
  <c r="BA17" i="1"/>
  <c r="BA13" i="1"/>
  <c r="BA20" i="1" s="1"/>
  <c r="BA21" i="1" s="1"/>
  <c r="BA23" i="1" s="1"/>
  <c r="AV20" i="1"/>
  <c r="AV21" i="1" s="1"/>
  <c r="AV23" i="1" s="1"/>
  <c r="AV17" i="1"/>
  <c r="AV13" i="1"/>
  <c r="AQ17" i="1"/>
  <c r="AQ13" i="1"/>
  <c r="AQ20" i="1" s="1"/>
  <c r="AQ21" i="1" s="1"/>
  <c r="AQ23" i="1" s="1"/>
  <c r="AL17" i="1"/>
  <c r="AL13" i="1"/>
  <c r="AL20" i="1" s="1"/>
  <c r="AL21" i="1" s="1"/>
  <c r="AL23" i="1" s="1"/>
  <c r="AG17" i="1"/>
  <c r="AG20" i="1" s="1"/>
  <c r="AG21" i="1" s="1"/>
  <c r="AG23" i="1" s="1"/>
  <c r="AG13" i="1"/>
  <c r="AB17" i="1"/>
  <c r="AB13" i="1"/>
  <c r="AB20" i="1" s="1"/>
  <c r="M17" i="1"/>
  <c r="M13" i="1"/>
  <c r="M20" i="1" s="1"/>
  <c r="M21" i="1" s="1"/>
  <c r="M23" i="1" s="1"/>
  <c r="R17" i="1"/>
  <c r="R9" i="1"/>
  <c r="W9" i="1" s="1"/>
  <c r="H17" i="1"/>
  <c r="H13" i="1"/>
  <c r="C18" i="1"/>
  <c r="CJ18" i="1" s="1"/>
  <c r="C17" i="1"/>
  <c r="CJ17" i="1" s="1"/>
  <c r="C13" i="1"/>
  <c r="BZ20" i="1" l="1"/>
  <c r="X9" i="1"/>
  <c r="AA9" i="1" s="1"/>
  <c r="BZ13" i="1"/>
  <c r="I20" i="1"/>
  <c r="W18" i="1"/>
  <c r="S13" i="1"/>
  <c r="V13" i="1" s="1"/>
  <c r="AU21" i="1"/>
  <c r="AT23" i="1"/>
  <c r="AU23" i="1" s="1"/>
  <c r="AM21" i="1"/>
  <c r="AP20" i="1"/>
  <c r="CK17" i="1"/>
  <c r="CN17" i="1" s="1"/>
  <c r="G17" i="1"/>
  <c r="BT17" i="1"/>
  <c r="CA17" i="1"/>
  <c r="CD17" i="1" s="1"/>
  <c r="CF20" i="1"/>
  <c r="CI13" i="1"/>
  <c r="G13" i="1"/>
  <c r="BV21" i="1"/>
  <c r="BY20" i="1"/>
  <c r="F23" i="1"/>
  <c r="CM21" i="1"/>
  <c r="R13" i="1"/>
  <c r="R20" i="1" s="1"/>
  <c r="R21" i="1" s="1"/>
  <c r="R23" i="1" s="1"/>
  <c r="CJ9" i="1"/>
  <c r="AN23" i="1"/>
  <c r="BM23" i="1" s="1"/>
  <c r="BM21" i="1"/>
  <c r="BZ17" i="1"/>
  <c r="G20" i="1"/>
  <c r="AZ23" i="1"/>
  <c r="X17" i="1"/>
  <c r="AA17" i="1" s="1"/>
  <c r="BG21" i="1"/>
  <c r="BJ20" i="1"/>
  <c r="CH23" i="1"/>
  <c r="BQ21" i="1"/>
  <c r="BT20" i="1"/>
  <c r="CA20" i="1"/>
  <c r="CD20" i="1" s="1"/>
  <c r="AB21" i="1"/>
  <c r="BK20" i="1"/>
  <c r="CK9" i="1"/>
  <c r="CN9" i="1" s="1"/>
  <c r="Q9" i="1"/>
  <c r="H20" i="1"/>
  <c r="H21" i="1" s="1"/>
  <c r="H23" i="1" s="1"/>
  <c r="I21" i="1"/>
  <c r="L20" i="1"/>
  <c r="N13" i="1"/>
  <c r="X13" i="1" s="1"/>
  <c r="AA13" i="1" s="1"/>
  <c r="CK8" i="1"/>
  <c r="CN8" i="1" s="1"/>
  <c r="Q8" i="1"/>
  <c r="CC23" i="1"/>
  <c r="AC21" i="1"/>
  <c r="E23" i="1"/>
  <c r="CL21" i="1"/>
  <c r="Y21" i="1"/>
  <c r="AE23" i="1"/>
  <c r="BK17" i="1"/>
  <c r="W17" i="1"/>
  <c r="C20" i="1"/>
  <c r="BK13" i="1"/>
  <c r="S20" i="1"/>
  <c r="AF20" i="1"/>
  <c r="BP21" i="1"/>
  <c r="BN21" i="1"/>
  <c r="BB20" i="1"/>
  <c r="BL20" i="1" s="1"/>
  <c r="BO20" i="1" s="1"/>
  <c r="BE13" i="1"/>
  <c r="Z21" i="1"/>
  <c r="P23" i="1"/>
  <c r="D21" i="1"/>
  <c r="G21" i="1" s="1"/>
  <c r="CJ13" i="1"/>
  <c r="BV23" i="1" l="1"/>
  <c r="BY23" i="1" s="1"/>
  <c r="BY21" i="1"/>
  <c r="BP23" i="1"/>
  <c r="BZ23" i="1" s="1"/>
  <c r="BZ21" i="1"/>
  <c r="AC23" i="1"/>
  <c r="Z23" i="1"/>
  <c r="CM23" i="1"/>
  <c r="I23" i="1"/>
  <c r="L23" i="1" s="1"/>
  <c r="L21" i="1"/>
  <c r="BQ23" i="1"/>
  <c r="CA21" i="1"/>
  <c r="CD21" i="1" s="1"/>
  <c r="BT21" i="1"/>
  <c r="W13" i="1"/>
  <c r="BB21" i="1"/>
  <c r="BL21" i="1" s="1"/>
  <c r="BO21" i="1" s="1"/>
  <c r="BE20" i="1"/>
  <c r="AF23" i="1"/>
  <c r="BN23" i="1"/>
  <c r="C21" i="1"/>
  <c r="CJ20" i="1"/>
  <c r="W20" i="1"/>
  <c r="CL23" i="1"/>
  <c r="Y23" i="1"/>
  <c r="CF21" i="1"/>
  <c r="CI20" i="1"/>
  <c r="N20" i="1"/>
  <c r="Q13" i="1"/>
  <c r="D23" i="1"/>
  <c r="G23" i="1" s="1"/>
  <c r="S21" i="1"/>
  <c r="V20" i="1"/>
  <c r="AB23" i="1"/>
  <c r="BK23" i="1" s="1"/>
  <c r="BK21" i="1"/>
  <c r="AM23" i="1"/>
  <c r="AP23" i="1" s="1"/>
  <c r="AP21" i="1"/>
  <c r="BG23" i="1"/>
  <c r="BJ23" i="1" s="1"/>
  <c r="BJ21" i="1"/>
  <c r="CK13" i="1"/>
  <c r="CN13" i="1" s="1"/>
  <c r="AF21" i="1"/>
  <c r="N21" i="1" l="1"/>
  <c r="Q20" i="1"/>
  <c r="CK20" i="1"/>
  <c r="CN20" i="1" s="1"/>
  <c r="X20" i="1"/>
  <c r="AA20" i="1" s="1"/>
  <c r="BB23" i="1"/>
  <c r="BE23" i="1" s="1"/>
  <c r="BE21" i="1"/>
  <c r="CF23" i="1"/>
  <c r="CI23" i="1" s="1"/>
  <c r="CI21" i="1"/>
  <c r="CA23" i="1"/>
  <c r="CD23" i="1" s="1"/>
  <c r="BT23" i="1"/>
  <c r="S23" i="1"/>
  <c r="V23" i="1" s="1"/>
  <c r="V21" i="1"/>
  <c r="C23" i="1"/>
  <c r="CJ21" i="1"/>
  <c r="W21" i="1"/>
  <c r="BO23" i="1"/>
  <c r="BL23" i="1"/>
  <c r="CJ23" i="1" l="1"/>
  <c r="W23" i="1"/>
  <c r="N23" i="1"/>
  <c r="Q21" i="1"/>
  <c r="X21" i="1"/>
  <c r="AA21" i="1" s="1"/>
  <c r="CK21" i="1"/>
  <c r="CN21" i="1" s="1"/>
  <c r="Q23" i="1" l="1"/>
  <c r="CK23" i="1"/>
  <c r="CN23" i="1" s="1"/>
  <c r="X23" i="1"/>
  <c r="AA23" i="1" s="1"/>
</calcChain>
</file>

<file path=xl/sharedStrings.xml><?xml version="1.0" encoding="utf-8"?>
<sst xmlns="http://schemas.openxmlformats.org/spreadsheetml/2006/main" count="195" uniqueCount="65">
  <si>
    <t>Sorsz.</t>
  </si>
  <si>
    <t>Tétel megnevezése</t>
  </si>
  <si>
    <t>I.</t>
  </si>
  <si>
    <t xml:space="preserve">ÉRTÉKESÍTÉS NETTÓ ÁRBEVÉTELE </t>
  </si>
  <si>
    <t>II.</t>
  </si>
  <si>
    <t>AKTIVÁLT TELJESÍTMÉNYEK ÉRTÉKE</t>
  </si>
  <si>
    <t>III.</t>
  </si>
  <si>
    <t>EGYÉB BEVÉTELEK</t>
  </si>
  <si>
    <t>05.</t>
  </si>
  <si>
    <t>Anyagköltség</t>
  </si>
  <si>
    <t>06.</t>
  </si>
  <si>
    <t xml:space="preserve">Igénybe vett szolgáltatások értéke </t>
  </si>
  <si>
    <t>07.</t>
  </si>
  <si>
    <t xml:space="preserve">Egyéb szolgáltatások értéke </t>
  </si>
  <si>
    <t>08.</t>
  </si>
  <si>
    <t xml:space="preserve">Eladott áruk beszerzési értéke </t>
  </si>
  <si>
    <t>09.</t>
  </si>
  <si>
    <t xml:space="preserve">Eladott (közvetített) szolgáltatások értéke </t>
  </si>
  <si>
    <t>IV.</t>
  </si>
  <si>
    <t>ANYAGJELLEGŰ RÁFORDÍTÁSOK (05+06+07+08+09)</t>
  </si>
  <si>
    <t>10.</t>
  </si>
  <si>
    <t>Bérköltség</t>
  </si>
  <si>
    <t>11.</t>
  </si>
  <si>
    <t>Személyi jellegű egyéb kifizetések</t>
  </si>
  <si>
    <t>12.</t>
  </si>
  <si>
    <t xml:space="preserve">Bérjárulékok </t>
  </si>
  <si>
    <t>V.</t>
  </si>
  <si>
    <t>SZEMÉLYI JELLEGŰ RÁFORDÍTÁSOK (10+11+12)</t>
  </si>
  <si>
    <t>VI.</t>
  </si>
  <si>
    <t xml:space="preserve">ÉRTÉKCSÖKKENÉSI LEÍRÁS </t>
  </si>
  <si>
    <t>VII.</t>
  </si>
  <si>
    <t>EGYÉB RÁFORDÍTÁSOK (86)</t>
  </si>
  <si>
    <t>A.</t>
  </si>
  <si>
    <t>ÜZEMI ÜZLETI TEVÉKENYSÉG EREDMÉNYE     (I±II+III-IV-V-VI-VII)</t>
  </si>
  <si>
    <t>E.</t>
  </si>
  <si>
    <t>ADÓZÁS ELŐTTI EREDMÉNY (±C±D)</t>
  </si>
  <si>
    <t>XII.</t>
  </si>
  <si>
    <t>Aófizetési kötelezettség</t>
  </si>
  <si>
    <t>F.</t>
  </si>
  <si>
    <t>ADÓZOTT EREDMÉNY (±E-XII)</t>
  </si>
  <si>
    <t>2018 tény</t>
  </si>
  <si>
    <t>Idegenforgalom</t>
  </si>
  <si>
    <t>2019. tény</t>
  </si>
  <si>
    <t>1-6. havi tény</t>
  </si>
  <si>
    <t>terv</t>
  </si>
  <si>
    <t>Hasznosítás</t>
  </si>
  <si>
    <t>Sárkány fürdő</t>
  </si>
  <si>
    <t>Kemping</t>
  </si>
  <si>
    <t>Várkastély</t>
  </si>
  <si>
    <t>Marketing</t>
  </si>
  <si>
    <t>Lakás</t>
  </si>
  <si>
    <t>Üzlet</t>
  </si>
  <si>
    <t>Inkubátor ház</t>
  </si>
  <si>
    <t>Piac</t>
  </si>
  <si>
    <t>Távhő</t>
  </si>
  <si>
    <t>Karbantartás</t>
  </si>
  <si>
    <t>2020/2019</t>
  </si>
  <si>
    <t>Kultúra hasznosítás</t>
  </si>
  <si>
    <t>Kultúra, rendezvények</t>
  </si>
  <si>
    <t>Média</t>
  </si>
  <si>
    <t>Társadalmi kapcsolatok</t>
  </si>
  <si>
    <t>Adminisztráció</t>
  </si>
  <si>
    <t>Összesen</t>
  </si>
  <si>
    <t>Mind Összesen</t>
  </si>
  <si>
    <t>1.sz. mell.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</si>
</sst>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 CE"/>
      <family val="1"/>
      <charset val="238"/>
    </font>
    <font>
      <sz val="12"/>
      <color indexed="8"/>
      <name val="Times New Roman CE"/>
      <family val="1"/>
      <charset val="238"/>
    </font>
    <font>
      <sz val="12"/>
      <name val="Times New Roman CE"/>
      <charset val="238"/>
    </font>
    <font>
      <b/>
      <sz val="14"/>
      <color indexed="8"/>
      <name val="Times New Roman CE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88">
    <xf numFmtId="0" fontId="0" fillId="0" borderId="0" xfId="0"/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quotePrefix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164" fontId="3" fillId="0" borderId="20" xfId="2" applyNumberFormat="1" applyFont="1" applyFill="1" applyBorder="1"/>
    <xf numFmtId="164" fontId="3" fillId="0" borderId="20" xfId="2" applyNumberFormat="1" applyFont="1" applyFill="1" applyBorder="1" applyAlignment="1"/>
    <xf numFmtId="164" fontId="3" fillId="0" borderId="20" xfId="2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64" fontId="3" fillId="0" borderId="15" xfId="2" applyNumberFormat="1" applyFont="1" applyFill="1" applyBorder="1"/>
    <xf numFmtId="164" fontId="3" fillId="0" borderId="24" xfId="2" applyNumberFormat="1" applyFont="1" applyFill="1" applyBorder="1"/>
    <xf numFmtId="0" fontId="7" fillId="0" borderId="0" xfId="0" applyFont="1"/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3" fillId="0" borderId="4" xfId="0" quotePrefix="1" applyFont="1" applyFill="1" applyBorder="1" applyAlignment="1">
      <alignment horizontal="left" shrinkToFi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quotePrefix="1" applyFont="1" applyFill="1" applyBorder="1" applyAlignment="1">
      <alignment horizontal="left" vertical="center" shrinkToFit="1"/>
    </xf>
    <xf numFmtId="164" fontId="3" fillId="0" borderId="20" xfId="2" applyNumberFormat="1" applyFont="1" applyFill="1" applyBorder="1" applyAlignment="1">
      <alignment wrapText="1"/>
    </xf>
    <xf numFmtId="164" fontId="3" fillId="0" borderId="15" xfId="2" applyNumberFormat="1" applyFont="1" applyFill="1" applyBorder="1" applyAlignment="1">
      <alignment vertical="center" wrapText="1"/>
    </xf>
    <xf numFmtId="164" fontId="3" fillId="0" borderId="20" xfId="2" applyNumberFormat="1" applyFont="1" applyFill="1" applyBorder="1" applyAlignment="1">
      <alignment vertical="center" wrapText="1"/>
    </xf>
    <xf numFmtId="164" fontId="3" fillId="0" borderId="24" xfId="2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shrinkToFit="1"/>
    </xf>
    <xf numFmtId="164" fontId="3" fillId="0" borderId="19" xfId="1" applyNumberFormat="1" applyFont="1" applyFill="1" applyBorder="1" applyAlignment="1"/>
    <xf numFmtId="164" fontId="3" fillId="0" borderId="23" xfId="2" applyNumberFormat="1" applyFont="1" applyFill="1" applyBorder="1"/>
    <xf numFmtId="0" fontId="3" fillId="0" borderId="5" xfId="0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left" shrinkToFit="1"/>
    </xf>
    <xf numFmtId="164" fontId="3" fillId="0" borderId="23" xfId="2" applyNumberFormat="1" applyFont="1" applyFill="1" applyBorder="1" applyAlignment="1"/>
    <xf numFmtId="164" fontId="3" fillId="0" borderId="22" xfId="2" applyNumberFormat="1" applyFont="1" applyFill="1" applyBorder="1"/>
    <xf numFmtId="164" fontId="3" fillId="0" borderId="23" xfId="2" applyNumberFormat="1" applyFont="1" applyFill="1" applyBorder="1" applyAlignment="1">
      <alignment vertical="center"/>
    </xf>
    <xf numFmtId="164" fontId="3" fillId="0" borderId="25" xfId="2" applyNumberFormat="1" applyFont="1" applyFill="1" applyBorder="1"/>
    <xf numFmtId="164" fontId="3" fillId="0" borderId="27" xfId="2" applyNumberFormat="1" applyFont="1" applyFill="1" applyBorder="1"/>
    <xf numFmtId="164" fontId="3" fillId="0" borderId="24" xfId="2" applyNumberFormat="1" applyFont="1" applyFill="1" applyBorder="1" applyAlignment="1">
      <alignment vertical="center"/>
    </xf>
    <xf numFmtId="164" fontId="3" fillId="0" borderId="26" xfId="2" applyNumberFormat="1" applyFont="1" applyFill="1" applyBorder="1"/>
    <xf numFmtId="164" fontId="3" fillId="0" borderId="25" xfId="2" applyNumberFormat="1" applyFont="1" applyFill="1" applyBorder="1" applyAlignment="1">
      <alignment vertical="center"/>
    </xf>
    <xf numFmtId="164" fontId="2" fillId="0" borderId="37" xfId="2" applyNumberFormat="1" applyFont="1" applyFill="1" applyBorder="1" applyAlignment="1">
      <alignment horizontal="center"/>
    </xf>
    <xf numFmtId="164" fontId="2" fillId="0" borderId="37" xfId="2" applyNumberFormat="1" applyFont="1" applyFill="1" applyBorder="1" applyAlignment="1">
      <alignment horizontal="center" vertical="center" wrapText="1"/>
    </xf>
    <xf numFmtId="164" fontId="2" fillId="0" borderId="38" xfId="2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8" fillId="0" borderId="0" xfId="0" applyFont="1" applyFill="1"/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9" fontId="8" fillId="0" borderId="31" xfId="0" applyNumberFormat="1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19" xfId="0" applyFont="1" applyFill="1" applyBorder="1"/>
    <xf numFmtId="0" fontId="0" fillId="0" borderId="15" xfId="0" applyFont="1" applyFill="1" applyBorder="1"/>
    <xf numFmtId="9" fontId="0" fillId="0" borderId="32" xfId="0" applyNumberFormat="1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0" fillId="0" borderId="32" xfId="0" applyFont="1" applyFill="1" applyBorder="1"/>
    <xf numFmtId="0" fontId="0" fillId="0" borderId="0" xfId="0" applyFont="1" applyFill="1"/>
    <xf numFmtId="164" fontId="3" fillId="0" borderId="19" xfId="2" applyNumberFormat="1" applyFont="1" applyFill="1" applyBorder="1" applyAlignment="1"/>
    <xf numFmtId="9" fontId="0" fillId="0" borderId="32" xfId="0" applyNumberFormat="1" applyFont="1" applyFill="1" applyBorder="1" applyAlignment="1">
      <alignment horizontal="left"/>
    </xf>
    <xf numFmtId="164" fontId="3" fillId="0" borderId="19" xfId="2" applyNumberFormat="1" applyFont="1" applyFill="1" applyBorder="1" applyAlignment="1">
      <alignment horizontal="center" vertical="center"/>
    </xf>
    <xf numFmtId="164" fontId="8" fillId="0" borderId="37" xfId="0" applyNumberFormat="1" applyFont="1" applyFill="1" applyBorder="1" applyAlignment="1">
      <alignment horizontal="center"/>
    </xf>
    <xf numFmtId="3" fontId="8" fillId="0" borderId="37" xfId="0" applyNumberFormat="1" applyFont="1" applyFill="1" applyBorder="1" applyAlignment="1">
      <alignment horizontal="center"/>
    </xf>
    <xf numFmtId="164" fontId="3" fillId="0" borderId="19" xfId="2" applyNumberFormat="1" applyFont="1" applyFill="1" applyBorder="1" applyAlignment="1">
      <alignment wrapText="1"/>
    </xf>
    <xf numFmtId="164" fontId="3" fillId="0" borderId="19" xfId="2" applyNumberFormat="1" applyFont="1" applyFill="1" applyBorder="1" applyAlignment="1">
      <alignment horizontal="center" vertical="center" wrapText="1"/>
    </xf>
    <xf numFmtId="164" fontId="3" fillId="0" borderId="21" xfId="2" applyNumberFormat="1" applyFont="1" applyFill="1" applyBorder="1" applyAlignment="1">
      <alignment horizontal="center" vertical="center"/>
    </xf>
    <xf numFmtId="164" fontId="3" fillId="0" borderId="21" xfId="2" applyNumberFormat="1" applyFont="1" applyFill="1" applyBorder="1" applyAlignment="1"/>
    <xf numFmtId="9" fontId="0" fillId="0" borderId="34" xfId="0" applyNumberFormat="1" applyFont="1" applyFill="1" applyBorder="1" applyAlignment="1">
      <alignment horizontal="left"/>
    </xf>
    <xf numFmtId="3" fontId="8" fillId="0" borderId="0" xfId="0" applyNumberFormat="1" applyFont="1" applyFill="1" applyAlignment="1">
      <alignment horizontal="center"/>
    </xf>
    <xf numFmtId="9" fontId="0" fillId="0" borderId="0" xfId="0" applyNumberFormat="1" applyFont="1" applyFill="1"/>
    <xf numFmtId="0" fontId="8" fillId="0" borderId="39" xfId="0" applyFont="1" applyFill="1" applyBorder="1" applyAlignment="1">
      <alignment horizontal="center"/>
    </xf>
    <xf numFmtId="0" fontId="0" fillId="0" borderId="0" xfId="0" applyFont="1" applyFill="1" applyAlignment="1"/>
    <xf numFmtId="9" fontId="7" fillId="0" borderId="0" xfId="0" applyNumberFormat="1" applyFont="1"/>
    <xf numFmtId="9" fontId="7" fillId="0" borderId="41" xfId="0" applyNumberFormat="1" applyFont="1" applyBorder="1"/>
    <xf numFmtId="3" fontId="7" fillId="0" borderId="10" xfId="0" applyNumberFormat="1" applyFont="1" applyBorder="1"/>
    <xf numFmtId="9" fontId="7" fillId="0" borderId="11" xfId="0" applyNumberFormat="1" applyFont="1" applyBorder="1"/>
    <xf numFmtId="3" fontId="7" fillId="0" borderId="42" xfId="0" applyNumberFormat="1" applyFont="1" applyBorder="1"/>
    <xf numFmtId="3" fontId="7" fillId="0" borderId="43" xfId="0" applyNumberFormat="1" applyFont="1" applyBorder="1"/>
    <xf numFmtId="3" fontId="7" fillId="0" borderId="44" xfId="0" applyNumberFormat="1" applyFont="1" applyBorder="1"/>
    <xf numFmtId="3" fontId="7" fillId="0" borderId="45" xfId="0" applyNumberFormat="1" applyFont="1" applyBorder="1"/>
    <xf numFmtId="3" fontId="7" fillId="0" borderId="35" xfId="0" applyNumberFormat="1" applyFont="1" applyBorder="1" applyAlignment="1">
      <alignment horizontal="center"/>
    </xf>
    <xf numFmtId="3" fontId="7" fillId="0" borderId="36" xfId="0" applyNumberFormat="1" applyFont="1" applyBorder="1" applyAlignment="1">
      <alignment horizontal="center"/>
    </xf>
    <xf numFmtId="9" fontId="7" fillId="0" borderId="14" xfId="0" applyNumberFormat="1" applyFont="1" applyBorder="1" applyAlignment="1">
      <alignment horizontal="center"/>
    </xf>
    <xf numFmtId="3" fontId="9" fillId="0" borderId="46" xfId="0" applyNumberFormat="1" applyFont="1" applyBorder="1" applyAlignment="1">
      <alignment horizontal="center"/>
    </xf>
    <xf numFmtId="3" fontId="9" fillId="0" borderId="47" xfId="0" applyNumberFormat="1" applyFont="1" applyBorder="1"/>
    <xf numFmtId="3" fontId="9" fillId="0" borderId="33" xfId="0" applyNumberFormat="1" applyFont="1" applyBorder="1"/>
    <xf numFmtId="0" fontId="9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37" xfId="0" applyFont="1" applyFill="1" applyBorder="1"/>
    <xf numFmtId="0" fontId="3" fillId="0" borderId="37" xfId="0" quotePrefix="1" applyFont="1" applyFill="1" applyBorder="1" applyAlignment="1">
      <alignment horizontal="left"/>
    </xf>
    <xf numFmtId="0" fontId="3" fillId="0" borderId="37" xfId="0" quotePrefix="1" applyFont="1" applyFill="1" applyBorder="1" applyAlignment="1">
      <alignment horizontal="left" shrinkToFit="1"/>
    </xf>
    <xf numFmtId="0" fontId="3" fillId="0" borderId="37" xfId="0" quotePrefix="1" applyFont="1" applyFill="1" applyBorder="1" applyAlignment="1">
      <alignment horizontal="left" vertical="center" shrinkToFit="1"/>
    </xf>
    <xf numFmtId="0" fontId="3" fillId="0" borderId="37" xfId="0" applyFont="1" applyFill="1" applyBorder="1" applyAlignment="1">
      <alignment shrinkToFit="1"/>
    </xf>
    <xf numFmtId="0" fontId="3" fillId="0" borderId="38" xfId="0" quotePrefix="1" applyFont="1" applyFill="1" applyBorder="1" applyAlignment="1">
      <alignment horizontal="left" shrinkToFit="1"/>
    </xf>
    <xf numFmtId="0" fontId="10" fillId="0" borderId="0" xfId="0" applyFont="1" applyFill="1"/>
    <xf numFmtId="0" fontId="8" fillId="0" borderId="2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164" fontId="2" fillId="0" borderId="38" xfId="2" applyNumberFormat="1" applyFont="1" applyFill="1" applyBorder="1" applyAlignment="1">
      <alignment horizontal="center"/>
    </xf>
    <xf numFmtId="164" fontId="8" fillId="0" borderId="37" xfId="0" applyNumberFormat="1" applyFont="1" applyFill="1" applyBorder="1"/>
    <xf numFmtId="0" fontId="8" fillId="0" borderId="37" xfId="0" applyFont="1" applyFill="1" applyBorder="1"/>
    <xf numFmtId="164" fontId="3" fillId="0" borderId="26" xfId="2" applyNumberFormat="1" applyFont="1" applyFill="1" applyBorder="1" applyAlignment="1">
      <alignment vertical="center"/>
    </xf>
    <xf numFmtId="164" fontId="2" fillId="0" borderId="37" xfId="2" applyNumberFormat="1" applyFont="1" applyFill="1" applyBorder="1" applyAlignment="1">
      <alignment horizontal="center" vertical="center"/>
    </xf>
    <xf numFmtId="3" fontId="2" fillId="0" borderId="37" xfId="2" applyNumberFormat="1" applyFont="1" applyFill="1" applyBorder="1" applyAlignment="1">
      <alignment horizontal="center" vertical="center"/>
    </xf>
    <xf numFmtId="3" fontId="8" fillId="0" borderId="38" xfId="0" applyNumberFormat="1" applyFont="1" applyFill="1" applyBorder="1" applyAlignment="1">
      <alignment horizontal="center"/>
    </xf>
    <xf numFmtId="3" fontId="2" fillId="0" borderId="38" xfId="2" applyNumberFormat="1" applyFont="1" applyFill="1" applyBorder="1" applyAlignment="1">
      <alignment horizontal="center" vertical="center"/>
    </xf>
    <xf numFmtId="164" fontId="3" fillId="0" borderId="43" xfId="2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4" fontId="8" fillId="0" borderId="37" xfId="1" applyNumberFormat="1" applyFont="1" applyFill="1" applyBorder="1" applyAlignment="1">
      <alignment horizontal="center"/>
    </xf>
    <xf numFmtId="164" fontId="3" fillId="0" borderId="26" xfId="2" applyNumberFormat="1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horizontal="center"/>
    </xf>
    <xf numFmtId="3" fontId="8" fillId="0" borderId="37" xfId="1" applyNumberFormat="1" applyFont="1" applyFill="1" applyBorder="1" applyAlignment="1">
      <alignment horizontal="center"/>
    </xf>
    <xf numFmtId="3" fontId="2" fillId="0" borderId="37" xfId="2" applyNumberFormat="1" applyFont="1" applyFill="1" applyBorder="1" applyAlignment="1">
      <alignment horizontal="center"/>
    </xf>
    <xf numFmtId="164" fontId="2" fillId="0" borderId="37" xfId="2" applyNumberFormat="1" applyFont="1" applyFill="1" applyBorder="1" applyAlignment="1">
      <alignment vertical="center" wrapText="1"/>
    </xf>
    <xf numFmtId="0" fontId="8" fillId="0" borderId="38" xfId="0" applyFont="1" applyFill="1" applyBorder="1"/>
    <xf numFmtId="164" fontId="2" fillId="0" borderId="45" xfId="2" applyNumberFormat="1" applyFont="1" applyFill="1" applyBorder="1" applyAlignment="1">
      <alignment horizontal="center"/>
    </xf>
    <xf numFmtId="164" fontId="2" fillId="0" borderId="54" xfId="2" applyNumberFormat="1" applyFont="1" applyFill="1" applyBorder="1"/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0" fillId="2" borderId="19" xfId="0" applyFont="1" applyFill="1" applyBorder="1"/>
    <xf numFmtId="0" fontId="0" fillId="2" borderId="15" xfId="0" applyFont="1" applyFill="1" applyBorder="1"/>
    <xf numFmtId="0" fontId="0" fillId="2" borderId="2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0" fillId="2" borderId="32" xfId="0" applyFont="1" applyFill="1" applyBorder="1" applyAlignment="1">
      <alignment horizontal="center"/>
    </xf>
    <xf numFmtId="164" fontId="0" fillId="2" borderId="19" xfId="0" applyNumberFormat="1" applyFont="1" applyFill="1" applyBorder="1"/>
    <xf numFmtId="164" fontId="0" fillId="2" borderId="15" xfId="0" applyNumberFormat="1" applyFont="1" applyFill="1" applyBorder="1"/>
    <xf numFmtId="164" fontId="0" fillId="2" borderId="24" xfId="0" applyNumberFormat="1" applyFont="1" applyFill="1" applyBorder="1"/>
    <xf numFmtId="164" fontId="8" fillId="2" borderId="37" xfId="0" applyNumberFormat="1" applyFont="1" applyFill="1" applyBorder="1"/>
    <xf numFmtId="9" fontId="0" fillId="2" borderId="32" xfId="0" applyNumberFormat="1" applyFont="1" applyFill="1" applyBorder="1" applyAlignment="1">
      <alignment horizontal="left"/>
    </xf>
    <xf numFmtId="0" fontId="8" fillId="2" borderId="37" xfId="0" applyFont="1" applyFill="1" applyBorder="1"/>
    <xf numFmtId="164" fontId="0" fillId="2" borderId="21" xfId="0" applyNumberFormat="1" applyFont="1" applyFill="1" applyBorder="1"/>
    <xf numFmtId="164" fontId="0" fillId="2" borderId="22" xfId="0" applyNumberFormat="1" applyFont="1" applyFill="1" applyBorder="1"/>
    <xf numFmtId="164" fontId="0" fillId="2" borderId="25" xfId="0" applyNumberFormat="1" applyFont="1" applyFill="1" applyBorder="1"/>
    <xf numFmtId="164" fontId="8" fillId="2" borderId="38" xfId="0" applyNumberFormat="1" applyFont="1" applyFill="1" applyBorder="1"/>
    <xf numFmtId="9" fontId="0" fillId="2" borderId="34" xfId="0" applyNumberFormat="1" applyFont="1" applyFill="1" applyBorder="1" applyAlignment="1">
      <alignment horizontal="left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0" fillId="2" borderId="24" xfId="0" applyFont="1" applyFill="1" applyBorder="1" applyAlignment="1"/>
    <xf numFmtId="0" fontId="0" fillId="2" borderId="32" xfId="0" applyFont="1" applyFill="1" applyBorder="1"/>
    <xf numFmtId="164" fontId="0" fillId="2" borderId="4" xfId="0" applyNumberFormat="1" applyFont="1" applyFill="1" applyBorder="1"/>
    <xf numFmtId="164" fontId="0" fillId="2" borderId="24" xfId="0" applyNumberFormat="1" applyFont="1" applyFill="1" applyBorder="1" applyAlignment="1"/>
    <xf numFmtId="0" fontId="8" fillId="2" borderId="37" xfId="0" applyFont="1" applyFill="1" applyBorder="1" applyAlignment="1">
      <alignment horizontal="center"/>
    </xf>
    <xf numFmtId="164" fontId="8" fillId="2" borderId="37" xfId="0" applyNumberFormat="1" applyFont="1" applyFill="1" applyBorder="1" applyAlignment="1">
      <alignment horizontal="center"/>
    </xf>
    <xf numFmtId="164" fontId="0" fillId="2" borderId="5" xfId="0" applyNumberFormat="1" applyFont="1" applyFill="1" applyBorder="1"/>
    <xf numFmtId="164" fontId="0" fillId="2" borderId="25" xfId="0" applyNumberFormat="1" applyFont="1" applyFill="1" applyBorder="1" applyAlignment="1"/>
    <xf numFmtId="164" fontId="8" fillId="2" borderId="38" xfId="0" applyNumberFormat="1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51" xfId="0" applyFont="1" applyFill="1" applyBorder="1"/>
    <xf numFmtId="0" fontId="8" fillId="2" borderId="28" xfId="0" applyFont="1" applyFill="1" applyBorder="1" applyAlignment="1"/>
    <xf numFmtId="0" fontId="0" fillId="2" borderId="19" xfId="0" applyFont="1" applyFill="1" applyBorder="1" applyAlignment="1"/>
    <xf numFmtId="164" fontId="0" fillId="2" borderId="19" xfId="0" applyNumberFormat="1" applyFont="1" applyFill="1" applyBorder="1" applyAlignment="1"/>
    <xf numFmtId="164" fontId="0" fillId="2" borderId="4" xfId="0" applyNumberFormat="1" applyFont="1" applyFill="1" applyBorder="1" applyAlignment="1"/>
    <xf numFmtId="164" fontId="8" fillId="2" borderId="37" xfId="0" applyNumberFormat="1" applyFont="1" applyFill="1" applyBorder="1" applyAlignment="1"/>
    <xf numFmtId="164" fontId="0" fillId="2" borderId="21" xfId="0" applyNumberFormat="1" applyFont="1" applyFill="1" applyBorder="1" applyAlignment="1"/>
    <xf numFmtId="164" fontId="0" fillId="2" borderId="5" xfId="0" applyNumberFormat="1" applyFont="1" applyFill="1" applyBorder="1" applyAlignment="1"/>
    <xf numFmtId="164" fontId="8" fillId="3" borderId="38" xfId="0" applyNumberFormat="1" applyFont="1" applyFill="1" applyBorder="1" applyAlignment="1"/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/>
    </xf>
    <xf numFmtId="0" fontId="8" fillId="2" borderId="52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/>
    </xf>
    <xf numFmtId="0" fontId="8" fillId="2" borderId="5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52" xfId="0" applyFont="1" applyFill="1" applyBorder="1" applyAlignment="1">
      <alignment horizontal="center"/>
    </xf>
    <xf numFmtId="0" fontId="8" fillId="0" borderId="53" xfId="0" applyFont="1" applyFill="1" applyBorder="1" applyAlignment="1">
      <alignment horizontal="center"/>
    </xf>
    <xf numFmtId="3" fontId="9" fillId="0" borderId="49" xfId="0" applyNumberFormat="1" applyFont="1" applyBorder="1" applyAlignment="1">
      <alignment horizontal="center"/>
    </xf>
    <xf numFmtId="3" fontId="9" fillId="0" borderId="46" xfId="0" applyNumberFormat="1" applyFont="1" applyBorder="1" applyAlignment="1">
      <alignment horizontal="center"/>
    </xf>
  </cellXfs>
  <cellStyles count="3">
    <cellStyle name="Ezres" xfId="1" builtinId="3"/>
    <cellStyle name="Ezres 2" xfId="2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46"/>
  <sheetViews>
    <sheetView tabSelected="1" workbookViewId="0">
      <pane xSplit="2" ySplit="2" topLeftCell="R3" activePane="bottomRight" state="frozen"/>
      <selection pane="topRight" activeCell="C1" sqref="C1"/>
      <selection pane="bottomLeft" activeCell="A3" sqref="A3"/>
      <selection pane="bottomRight" activeCell="Z5" sqref="Z5"/>
    </sheetView>
  </sheetViews>
  <sheetFormatPr defaultColWidth="8.85546875" defaultRowHeight="15" x14ac:dyDescent="0.25"/>
  <cols>
    <col min="1" max="1" width="8.85546875" style="61"/>
    <col min="2" max="2" width="54.140625" style="61" customWidth="1"/>
    <col min="3" max="3" width="13.5703125" style="61" customWidth="1"/>
    <col min="4" max="4" width="13.28515625" style="61" customWidth="1"/>
    <col min="5" max="5" width="12" style="61" customWidth="1"/>
    <col min="6" max="6" width="13.140625" style="72" customWidth="1"/>
    <col min="7" max="7" width="8.85546875" style="73"/>
    <col min="8" max="8" width="12.42578125" style="61" customWidth="1"/>
    <col min="9" max="9" width="12.28515625" style="61" customWidth="1"/>
    <col min="10" max="10" width="11.5703125" style="61" customWidth="1"/>
    <col min="11" max="11" width="12.85546875" style="72" customWidth="1"/>
    <col min="12" max="12" width="8.85546875" style="61"/>
    <col min="13" max="13" width="12.7109375" style="61" customWidth="1"/>
    <col min="14" max="14" width="11.7109375" style="61" customWidth="1"/>
    <col min="15" max="15" width="12.7109375" style="61" customWidth="1"/>
    <col min="16" max="16" width="12.28515625" style="72" customWidth="1"/>
    <col min="17" max="17" width="8.85546875" style="61"/>
    <col min="18" max="18" width="11.7109375" style="61" customWidth="1"/>
    <col min="19" max="19" width="12.7109375" style="61" customWidth="1"/>
    <col min="20" max="20" width="13.140625" style="61" customWidth="1"/>
    <col min="21" max="21" width="11.7109375" style="43" customWidth="1"/>
    <col min="22" max="22" width="8.85546875" style="61"/>
    <col min="23" max="23" width="12" style="61" customWidth="1"/>
    <col min="24" max="24" width="12.140625" style="61" customWidth="1"/>
    <col min="25" max="25" width="11.5703125" style="61" customWidth="1"/>
    <col min="26" max="26" width="12.85546875" style="43" customWidth="1"/>
    <col min="27" max="27" width="8.85546875" style="61"/>
    <col min="28" max="28" width="13" style="61" customWidth="1"/>
    <col min="29" max="29" width="13.140625" style="61" customWidth="1"/>
    <col min="30" max="30" width="12.140625" style="61" customWidth="1"/>
    <col min="31" max="31" width="12.28515625" style="72" customWidth="1"/>
    <col min="32" max="32" width="8.85546875" style="61"/>
    <col min="33" max="33" width="12.7109375" style="61" customWidth="1"/>
    <col min="34" max="34" width="11.28515625" style="61" customWidth="1"/>
    <col min="35" max="35" width="12.28515625" style="61" customWidth="1"/>
    <col min="36" max="36" width="12.140625" style="53" customWidth="1"/>
    <col min="37" max="37" width="8.85546875" style="61"/>
    <col min="38" max="38" width="12" style="61" customWidth="1"/>
    <col min="39" max="39" width="11.7109375" style="61" customWidth="1"/>
    <col min="40" max="40" width="12.28515625" style="61" customWidth="1"/>
    <col min="41" max="41" width="10.7109375" style="53" customWidth="1"/>
    <col min="42" max="42" width="8.85546875" style="61"/>
    <col min="43" max="43" width="11.28515625" style="61" customWidth="1"/>
    <col min="44" max="44" width="10.42578125" style="61" customWidth="1"/>
    <col min="45" max="45" width="11.28515625" style="61" customWidth="1"/>
    <col min="46" max="46" width="10.5703125" style="53" customWidth="1"/>
    <col min="47" max="47" width="8.85546875" style="61"/>
    <col min="48" max="48" width="11.5703125" style="61" customWidth="1"/>
    <col min="49" max="49" width="11.7109375" style="61" customWidth="1"/>
    <col min="50" max="50" width="11.28515625" style="61" customWidth="1"/>
    <col min="51" max="51" width="11.5703125" style="74" customWidth="1"/>
    <col min="52" max="52" width="8.85546875" style="61"/>
    <col min="53" max="53" width="12.85546875" style="61" customWidth="1"/>
    <col min="54" max="54" width="11.7109375" style="61" customWidth="1"/>
    <col min="55" max="55" width="12.7109375" style="61" customWidth="1"/>
    <col min="56" max="56" width="12.7109375" style="53" customWidth="1"/>
    <col min="57" max="57" width="9.85546875" style="61" customWidth="1"/>
    <col min="58" max="58" width="11.28515625" style="61" customWidth="1"/>
    <col min="59" max="59" width="11.7109375" style="61" customWidth="1"/>
    <col min="60" max="60" width="12.5703125" style="61" customWidth="1"/>
    <col min="61" max="61" width="10.7109375" style="53" customWidth="1"/>
    <col min="62" max="62" width="7.42578125" style="61" customWidth="1"/>
    <col min="63" max="64" width="10.85546875" style="61" customWidth="1"/>
    <col min="65" max="65" width="11.85546875" style="75" customWidth="1"/>
    <col min="66" max="66" width="9.7109375" style="53" customWidth="1"/>
    <col min="67" max="67" width="9.7109375" style="61" customWidth="1"/>
    <col min="68" max="68" width="11.7109375" style="61" customWidth="1"/>
    <col min="69" max="69" width="13.28515625" style="61" customWidth="1"/>
    <col min="70" max="70" width="12" style="61" customWidth="1"/>
    <col min="71" max="71" width="13.5703125" style="53" customWidth="1"/>
    <col min="72" max="72" width="10" style="61" customWidth="1"/>
    <col min="73" max="73" width="11.5703125" style="61" customWidth="1"/>
    <col min="74" max="74" width="12.28515625" style="61" customWidth="1"/>
    <col min="75" max="75" width="13.42578125" style="61" customWidth="1"/>
    <col min="76" max="76" width="13.140625" style="53" customWidth="1"/>
    <col min="77" max="77" width="9.7109375" style="61" customWidth="1"/>
    <col min="78" max="78" width="11.140625" style="61" customWidth="1"/>
    <col min="79" max="79" width="11" style="61" customWidth="1"/>
    <col min="80" max="80" width="12.5703125" style="61" customWidth="1"/>
    <col min="81" max="81" width="10.85546875" style="43" customWidth="1"/>
    <col min="82" max="82" width="9.7109375" style="61" customWidth="1"/>
    <col min="83" max="83" width="12.7109375" style="61" customWidth="1"/>
    <col min="84" max="84" width="12.140625" style="61" customWidth="1"/>
    <col min="85" max="85" width="11.7109375" style="61" customWidth="1"/>
    <col min="86" max="86" width="11.7109375" style="53" customWidth="1"/>
    <col min="87" max="87" width="10.140625" style="61" customWidth="1"/>
    <col min="88" max="88" width="10.7109375" style="75" bestFit="1" customWidth="1"/>
    <col min="89" max="89" width="11.140625" style="61" customWidth="1"/>
    <col min="90" max="90" width="12.28515625" style="61" customWidth="1"/>
    <col min="91" max="91" width="10.85546875" style="43" customWidth="1"/>
    <col min="92" max="92" width="10.7109375" style="61" customWidth="1"/>
    <col min="93" max="16384" width="8.85546875" style="61"/>
  </cols>
  <sheetData>
    <row r="1" spans="1:92" s="40" customFormat="1" ht="42.6" customHeight="1" thickBot="1" x14ac:dyDescent="0.35">
      <c r="A1" s="99" t="s">
        <v>64</v>
      </c>
      <c r="B1" s="10" t="s">
        <v>1</v>
      </c>
      <c r="C1" s="170" t="s">
        <v>41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2"/>
      <c r="AB1" s="162" t="s">
        <v>45</v>
      </c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4"/>
      <c r="BK1" s="41"/>
      <c r="BL1" s="41"/>
      <c r="BM1" s="42"/>
      <c r="BN1" s="41"/>
      <c r="BO1" s="41"/>
      <c r="BP1" s="162" t="s">
        <v>60</v>
      </c>
      <c r="BQ1" s="163"/>
      <c r="BR1" s="163"/>
      <c r="BS1" s="163"/>
      <c r="BT1" s="163"/>
      <c r="BU1" s="163"/>
      <c r="BV1" s="163"/>
      <c r="BW1" s="163"/>
      <c r="BX1" s="163"/>
      <c r="BY1" s="163"/>
      <c r="BZ1" s="163"/>
      <c r="CA1" s="163"/>
      <c r="CB1" s="163"/>
      <c r="CC1" s="163"/>
      <c r="CD1" s="164"/>
      <c r="CE1" s="162" t="s">
        <v>61</v>
      </c>
      <c r="CF1" s="163"/>
      <c r="CG1" s="163"/>
      <c r="CH1" s="163"/>
      <c r="CI1" s="164"/>
      <c r="CJ1" s="162" t="s">
        <v>63</v>
      </c>
      <c r="CK1" s="163"/>
      <c r="CL1" s="163"/>
      <c r="CM1" s="163"/>
      <c r="CN1" s="164"/>
    </row>
    <row r="2" spans="1:92" s="43" customFormat="1" ht="46.9" customHeight="1" thickBot="1" x14ac:dyDescent="0.3">
      <c r="A2" s="1" t="s">
        <v>0</v>
      </c>
      <c r="B2" s="6"/>
      <c r="C2" s="178" t="s">
        <v>46</v>
      </c>
      <c r="D2" s="179"/>
      <c r="E2" s="179"/>
      <c r="F2" s="179"/>
      <c r="G2" s="180"/>
      <c r="H2" s="178" t="s">
        <v>47</v>
      </c>
      <c r="I2" s="179"/>
      <c r="J2" s="179"/>
      <c r="K2" s="179"/>
      <c r="L2" s="180"/>
      <c r="M2" s="178" t="s">
        <v>48</v>
      </c>
      <c r="N2" s="179"/>
      <c r="O2" s="179"/>
      <c r="P2" s="179"/>
      <c r="Q2" s="180"/>
      <c r="R2" s="178" t="s">
        <v>49</v>
      </c>
      <c r="S2" s="179"/>
      <c r="T2" s="179"/>
      <c r="U2" s="179"/>
      <c r="V2" s="180"/>
      <c r="W2" s="165" t="s">
        <v>62</v>
      </c>
      <c r="X2" s="166"/>
      <c r="Y2" s="166"/>
      <c r="Z2" s="166"/>
      <c r="AA2" s="167"/>
      <c r="AB2" s="178" t="s">
        <v>50</v>
      </c>
      <c r="AC2" s="179"/>
      <c r="AD2" s="179"/>
      <c r="AE2" s="179"/>
      <c r="AF2" s="180"/>
      <c r="AG2" s="178" t="s">
        <v>51</v>
      </c>
      <c r="AH2" s="179"/>
      <c r="AI2" s="179"/>
      <c r="AJ2" s="179"/>
      <c r="AK2" s="180"/>
      <c r="AL2" s="178" t="s">
        <v>52</v>
      </c>
      <c r="AM2" s="179"/>
      <c r="AN2" s="179"/>
      <c r="AO2" s="179"/>
      <c r="AP2" s="180"/>
      <c r="AQ2" s="178" t="s">
        <v>53</v>
      </c>
      <c r="AR2" s="179"/>
      <c r="AS2" s="179"/>
      <c r="AT2" s="179"/>
      <c r="AU2" s="180"/>
      <c r="AV2" s="178" t="s">
        <v>54</v>
      </c>
      <c r="AW2" s="179"/>
      <c r="AX2" s="179"/>
      <c r="AY2" s="179"/>
      <c r="AZ2" s="180"/>
      <c r="BA2" s="178" t="s">
        <v>55</v>
      </c>
      <c r="BB2" s="179"/>
      <c r="BC2" s="179"/>
      <c r="BD2" s="179"/>
      <c r="BE2" s="180"/>
      <c r="BF2" s="178" t="s">
        <v>57</v>
      </c>
      <c r="BG2" s="179"/>
      <c r="BH2" s="179"/>
      <c r="BI2" s="179"/>
      <c r="BJ2" s="180"/>
      <c r="BK2" s="173" t="s">
        <v>62</v>
      </c>
      <c r="BL2" s="174"/>
      <c r="BM2" s="174"/>
      <c r="BN2" s="174"/>
      <c r="BO2" s="175"/>
      <c r="BP2" s="178" t="s">
        <v>58</v>
      </c>
      <c r="BQ2" s="179"/>
      <c r="BR2" s="179"/>
      <c r="BS2" s="179"/>
      <c r="BT2" s="180"/>
      <c r="BU2" s="178" t="s">
        <v>59</v>
      </c>
      <c r="BV2" s="179"/>
      <c r="BW2" s="179"/>
      <c r="BX2" s="179"/>
      <c r="BY2" s="180"/>
      <c r="BZ2" s="173" t="s">
        <v>62</v>
      </c>
      <c r="CA2" s="174"/>
      <c r="CB2" s="174"/>
      <c r="CC2" s="174"/>
      <c r="CD2" s="175"/>
      <c r="CE2" s="178"/>
      <c r="CF2" s="179"/>
      <c r="CG2" s="179"/>
      <c r="CH2" s="179"/>
      <c r="CI2" s="180"/>
      <c r="CJ2" s="173"/>
      <c r="CK2" s="174"/>
      <c r="CL2" s="174"/>
      <c r="CM2" s="174"/>
      <c r="CN2" s="175"/>
    </row>
    <row r="3" spans="1:92" s="53" customFormat="1" ht="16.5" thickBot="1" x14ac:dyDescent="0.3">
      <c r="A3" s="2"/>
      <c r="B3" s="4"/>
      <c r="C3" s="44" t="s">
        <v>40</v>
      </c>
      <c r="D3" s="45" t="s">
        <v>42</v>
      </c>
      <c r="E3" s="183">
        <v>2020</v>
      </c>
      <c r="F3" s="184"/>
      <c r="G3" s="46" t="s">
        <v>56</v>
      </c>
      <c r="H3" s="44" t="s">
        <v>40</v>
      </c>
      <c r="I3" s="45" t="s">
        <v>42</v>
      </c>
      <c r="J3" s="183">
        <v>2020</v>
      </c>
      <c r="K3" s="184"/>
      <c r="L3" s="47" t="s">
        <v>56</v>
      </c>
      <c r="M3" s="44" t="s">
        <v>40</v>
      </c>
      <c r="N3" s="45" t="s">
        <v>42</v>
      </c>
      <c r="O3" s="183">
        <v>2020</v>
      </c>
      <c r="P3" s="184"/>
      <c r="Q3" s="47" t="s">
        <v>56</v>
      </c>
      <c r="R3" s="44" t="s">
        <v>40</v>
      </c>
      <c r="S3" s="45" t="s">
        <v>42</v>
      </c>
      <c r="T3" s="183">
        <v>2020</v>
      </c>
      <c r="U3" s="184"/>
      <c r="V3" s="47" t="s">
        <v>56</v>
      </c>
      <c r="W3" s="121" t="s">
        <v>40</v>
      </c>
      <c r="X3" s="122" t="s">
        <v>42</v>
      </c>
      <c r="Y3" s="168">
        <v>2020</v>
      </c>
      <c r="Z3" s="169"/>
      <c r="AA3" s="123" t="s">
        <v>56</v>
      </c>
      <c r="AB3" s="44" t="s">
        <v>40</v>
      </c>
      <c r="AC3" s="45" t="s">
        <v>42</v>
      </c>
      <c r="AD3" s="183">
        <v>2020</v>
      </c>
      <c r="AE3" s="184"/>
      <c r="AF3" s="47" t="s">
        <v>56</v>
      </c>
      <c r="AG3" s="44" t="s">
        <v>40</v>
      </c>
      <c r="AH3" s="45" t="s">
        <v>42</v>
      </c>
      <c r="AI3" s="183">
        <v>2020</v>
      </c>
      <c r="AJ3" s="185"/>
      <c r="AK3" s="47" t="s">
        <v>56</v>
      </c>
      <c r="AL3" s="44" t="s">
        <v>40</v>
      </c>
      <c r="AM3" s="45" t="s">
        <v>42</v>
      </c>
      <c r="AN3" s="183">
        <v>2020</v>
      </c>
      <c r="AO3" s="185"/>
      <c r="AP3" s="47" t="s">
        <v>56</v>
      </c>
      <c r="AQ3" s="44" t="s">
        <v>40</v>
      </c>
      <c r="AR3" s="45" t="s">
        <v>42</v>
      </c>
      <c r="AS3" s="183">
        <v>2020</v>
      </c>
      <c r="AT3" s="185"/>
      <c r="AU3" s="47" t="s">
        <v>56</v>
      </c>
      <c r="AV3" s="44" t="s">
        <v>40</v>
      </c>
      <c r="AW3" s="45" t="s">
        <v>42</v>
      </c>
      <c r="AX3" s="183">
        <v>2020</v>
      </c>
      <c r="AY3" s="185"/>
      <c r="AZ3" s="47" t="s">
        <v>56</v>
      </c>
      <c r="BA3" s="48" t="s">
        <v>40</v>
      </c>
      <c r="BB3" s="51" t="s">
        <v>42</v>
      </c>
      <c r="BC3" s="183">
        <v>2020</v>
      </c>
      <c r="BD3" s="184"/>
      <c r="BE3" s="50" t="s">
        <v>56</v>
      </c>
      <c r="BF3" s="48" t="s">
        <v>40</v>
      </c>
      <c r="BG3" s="51" t="s">
        <v>42</v>
      </c>
      <c r="BH3" s="183">
        <v>2020</v>
      </c>
      <c r="BI3" s="184"/>
      <c r="BJ3" s="50" t="s">
        <v>56</v>
      </c>
      <c r="BK3" s="140" t="s">
        <v>40</v>
      </c>
      <c r="BL3" s="141" t="s">
        <v>42</v>
      </c>
      <c r="BM3" s="168">
        <v>2020</v>
      </c>
      <c r="BN3" s="169"/>
      <c r="BO3" s="142" t="s">
        <v>56</v>
      </c>
      <c r="BP3" s="48" t="s">
        <v>40</v>
      </c>
      <c r="BQ3" s="49" t="s">
        <v>42</v>
      </c>
      <c r="BR3" s="181">
        <v>2020</v>
      </c>
      <c r="BS3" s="182"/>
      <c r="BT3" s="52" t="s">
        <v>56</v>
      </c>
      <c r="BU3" s="48" t="s">
        <v>40</v>
      </c>
      <c r="BV3" s="51" t="s">
        <v>42</v>
      </c>
      <c r="BW3" s="181">
        <v>2020</v>
      </c>
      <c r="BX3" s="182"/>
      <c r="BY3" s="52" t="s">
        <v>56</v>
      </c>
      <c r="BZ3" s="140" t="s">
        <v>40</v>
      </c>
      <c r="CA3" s="141" t="s">
        <v>42</v>
      </c>
      <c r="CB3" s="176">
        <v>2020</v>
      </c>
      <c r="CC3" s="177"/>
      <c r="CD3" s="152" t="s">
        <v>56</v>
      </c>
      <c r="CE3" s="48" t="s">
        <v>40</v>
      </c>
      <c r="CF3" s="51" t="s">
        <v>42</v>
      </c>
      <c r="CG3" s="181">
        <v>2020</v>
      </c>
      <c r="CH3" s="182"/>
      <c r="CI3" s="52" t="s">
        <v>56</v>
      </c>
      <c r="CJ3" s="154" t="s">
        <v>40</v>
      </c>
      <c r="CK3" s="141" t="s">
        <v>42</v>
      </c>
      <c r="CL3" s="176">
        <v>2020</v>
      </c>
      <c r="CM3" s="177"/>
      <c r="CN3" s="152" t="s">
        <v>56</v>
      </c>
    </row>
    <row r="4" spans="1:92" ht="15.75" x14ac:dyDescent="0.25">
      <c r="A4" s="14"/>
      <c r="B4" s="15"/>
      <c r="C4" s="54"/>
      <c r="D4" s="55"/>
      <c r="E4" s="58" t="s">
        <v>43</v>
      </c>
      <c r="F4" s="114" t="s">
        <v>44</v>
      </c>
      <c r="G4" s="56"/>
      <c r="H4" s="54"/>
      <c r="I4" s="55"/>
      <c r="J4" s="58" t="s">
        <v>43</v>
      </c>
      <c r="K4" s="114" t="s">
        <v>44</v>
      </c>
      <c r="L4" s="57"/>
      <c r="M4" s="54"/>
      <c r="N4" s="55"/>
      <c r="O4" s="58" t="s">
        <v>43</v>
      </c>
      <c r="P4" s="114" t="s">
        <v>44</v>
      </c>
      <c r="Q4" s="57"/>
      <c r="R4" s="54"/>
      <c r="S4" s="55"/>
      <c r="T4" s="58" t="s">
        <v>43</v>
      </c>
      <c r="U4" s="100" t="s">
        <v>44</v>
      </c>
      <c r="V4" s="57"/>
      <c r="W4" s="124"/>
      <c r="X4" s="125"/>
      <c r="Y4" s="126" t="s">
        <v>43</v>
      </c>
      <c r="Z4" s="127" t="s">
        <v>44</v>
      </c>
      <c r="AA4" s="128"/>
      <c r="AB4" s="54"/>
      <c r="AC4" s="55"/>
      <c r="AD4" s="58" t="s">
        <v>43</v>
      </c>
      <c r="AE4" s="114" t="s">
        <v>44</v>
      </c>
      <c r="AF4" s="57"/>
      <c r="AG4" s="54"/>
      <c r="AH4" s="55"/>
      <c r="AI4" s="58" t="s">
        <v>43</v>
      </c>
      <c r="AJ4" s="100" t="s">
        <v>44</v>
      </c>
      <c r="AK4" s="57"/>
      <c r="AL4" s="54"/>
      <c r="AM4" s="55"/>
      <c r="AN4" s="58" t="s">
        <v>43</v>
      </c>
      <c r="AO4" s="100" t="s">
        <v>44</v>
      </c>
      <c r="AP4" s="57"/>
      <c r="AQ4" s="54"/>
      <c r="AR4" s="55"/>
      <c r="AS4" s="58" t="s">
        <v>43</v>
      </c>
      <c r="AT4" s="100" t="s">
        <v>44</v>
      </c>
      <c r="AU4" s="57"/>
      <c r="AV4" s="54"/>
      <c r="AW4" s="55"/>
      <c r="AX4" s="58" t="s">
        <v>43</v>
      </c>
      <c r="AY4" s="100" t="s">
        <v>44</v>
      </c>
      <c r="AZ4" s="57"/>
      <c r="BA4" s="54"/>
      <c r="BB4" s="55"/>
      <c r="BC4" s="58" t="s">
        <v>43</v>
      </c>
      <c r="BD4" s="100" t="s">
        <v>44</v>
      </c>
      <c r="BE4" s="60"/>
      <c r="BF4" s="54"/>
      <c r="BG4" s="55"/>
      <c r="BH4" s="58" t="s">
        <v>43</v>
      </c>
      <c r="BI4" s="100" t="s">
        <v>44</v>
      </c>
      <c r="BJ4" s="60"/>
      <c r="BK4" s="124"/>
      <c r="BL4" s="125"/>
      <c r="BM4" s="143" t="s">
        <v>43</v>
      </c>
      <c r="BN4" s="127" t="s">
        <v>44</v>
      </c>
      <c r="BO4" s="144"/>
      <c r="BP4" s="54"/>
      <c r="BQ4" s="55"/>
      <c r="BR4" s="58" t="s">
        <v>43</v>
      </c>
      <c r="BS4" s="100" t="s">
        <v>44</v>
      </c>
      <c r="BT4" s="60"/>
      <c r="BU4" s="54"/>
      <c r="BV4" s="55"/>
      <c r="BW4" s="58" t="s">
        <v>43</v>
      </c>
      <c r="BX4" s="100" t="s">
        <v>44</v>
      </c>
      <c r="BY4" s="60"/>
      <c r="BZ4" s="124"/>
      <c r="CA4" s="125"/>
      <c r="CB4" s="126" t="s">
        <v>43</v>
      </c>
      <c r="CC4" s="127" t="s">
        <v>44</v>
      </c>
      <c r="CD4" s="144"/>
      <c r="CE4" s="54"/>
      <c r="CF4" s="55"/>
      <c r="CG4" s="58" t="s">
        <v>43</v>
      </c>
      <c r="CH4" s="100" t="s">
        <v>44</v>
      </c>
      <c r="CI4" s="60"/>
      <c r="CJ4" s="155"/>
      <c r="CK4" s="125"/>
      <c r="CL4" s="126" t="s">
        <v>43</v>
      </c>
      <c r="CM4" s="127" t="s">
        <v>44</v>
      </c>
      <c r="CN4" s="144"/>
    </row>
    <row r="5" spans="1:92" ht="15.75" x14ac:dyDescent="0.25">
      <c r="A5" s="3" t="s">
        <v>2</v>
      </c>
      <c r="B5" s="16" t="s">
        <v>3</v>
      </c>
      <c r="C5" s="62">
        <v>174402</v>
      </c>
      <c r="D5" s="8">
        <v>171310</v>
      </c>
      <c r="E5" s="12">
        <v>32295</v>
      </c>
      <c r="F5" s="66">
        <v>90000</v>
      </c>
      <c r="G5" s="63">
        <f>+F5/D5</f>
        <v>0.52536337633529862</v>
      </c>
      <c r="H5" s="64">
        <v>51746</v>
      </c>
      <c r="I5" s="7">
        <v>55837</v>
      </c>
      <c r="J5" s="12">
        <v>9193</v>
      </c>
      <c r="K5" s="66">
        <v>31000</v>
      </c>
      <c r="L5" s="63">
        <f>+K5/I5</f>
        <v>0.55518742052760717</v>
      </c>
      <c r="M5" s="64">
        <v>5616</v>
      </c>
      <c r="N5" s="9">
        <v>7626</v>
      </c>
      <c r="O5" s="34">
        <v>1203</v>
      </c>
      <c r="P5" s="66">
        <v>4000</v>
      </c>
      <c r="Q5" s="63">
        <f>+P5/N5</f>
        <v>0.52452137424600054</v>
      </c>
      <c r="R5" s="64">
        <v>150</v>
      </c>
      <c r="S5" s="7">
        <v>0</v>
      </c>
      <c r="T5" s="12">
        <v>0</v>
      </c>
      <c r="U5" s="104"/>
      <c r="V5" s="63"/>
      <c r="W5" s="129">
        <f>SUM(C5,H5,M5,R5)</f>
        <v>231914</v>
      </c>
      <c r="X5" s="130">
        <f>SUM(D5,I5,N5,S5)</f>
        <v>234773</v>
      </c>
      <c r="Y5" s="131">
        <f>SUM(E5,J5,O5,T5)</f>
        <v>42691</v>
      </c>
      <c r="Z5" s="132">
        <f>F5+K5+P5+U5</f>
        <v>125000</v>
      </c>
      <c r="AA5" s="133">
        <f>+Z5/X5</f>
        <v>0.53242919756530771</v>
      </c>
      <c r="AB5" s="64">
        <v>39446</v>
      </c>
      <c r="AC5" s="7">
        <v>39725</v>
      </c>
      <c r="AD5" s="12">
        <v>25700</v>
      </c>
      <c r="AE5" s="66">
        <v>51000</v>
      </c>
      <c r="AF5" s="63">
        <f>+AE5/AC5</f>
        <v>1.2838263058527375</v>
      </c>
      <c r="AG5" s="64">
        <v>24591</v>
      </c>
      <c r="AH5" s="7">
        <v>23864</v>
      </c>
      <c r="AI5" s="12">
        <v>14126</v>
      </c>
      <c r="AJ5" s="59">
        <v>27000</v>
      </c>
      <c r="AK5" s="63">
        <f>+AJ5/AH5</f>
        <v>1.131411330874958</v>
      </c>
      <c r="AL5" s="64">
        <v>11232</v>
      </c>
      <c r="AM5" s="7">
        <v>12093</v>
      </c>
      <c r="AN5" s="12">
        <v>5769</v>
      </c>
      <c r="AO5" s="59">
        <v>12000</v>
      </c>
      <c r="AP5" s="63">
        <f>+AO5/AM5</f>
        <v>0.99230960059538575</v>
      </c>
      <c r="AQ5" s="64">
        <v>7022</v>
      </c>
      <c r="AR5" s="7">
        <v>7024</v>
      </c>
      <c r="AS5" s="12">
        <v>3053</v>
      </c>
      <c r="AT5" s="59">
        <v>6000</v>
      </c>
      <c r="AU5" s="63">
        <f>+AT5/AR5</f>
        <v>0.85421412300683375</v>
      </c>
      <c r="AV5" s="64">
        <v>53859</v>
      </c>
      <c r="AW5" s="7">
        <v>54155</v>
      </c>
      <c r="AX5" s="12">
        <v>35007</v>
      </c>
      <c r="AY5" s="59">
        <v>55000</v>
      </c>
      <c r="AZ5" s="63">
        <f>+AY5/AW5</f>
        <v>1.0156033607238482</v>
      </c>
      <c r="BA5" s="64">
        <v>1127</v>
      </c>
      <c r="BB5" s="7">
        <v>214</v>
      </c>
      <c r="BC5" s="12">
        <v>330</v>
      </c>
      <c r="BD5" s="59">
        <v>330</v>
      </c>
      <c r="BE5" s="63">
        <f>+BD5/BB5</f>
        <v>1.5420560747663552</v>
      </c>
      <c r="BF5" s="64">
        <v>9248</v>
      </c>
      <c r="BG5" s="9">
        <v>8013</v>
      </c>
      <c r="BH5" s="34">
        <v>2311</v>
      </c>
      <c r="BI5" s="59">
        <v>6000</v>
      </c>
      <c r="BJ5" s="63">
        <f>+BI5/BG5</f>
        <v>0.74878322725570945</v>
      </c>
      <c r="BK5" s="145">
        <f>SUM(AB5,AG5,AL5,AQ5,AV5,BA5,BF5)</f>
        <v>146525</v>
      </c>
      <c r="BL5" s="131">
        <f>SUM(AC5,AH5,AM5,AR5,AW5,BB5,BG5)</f>
        <v>145088</v>
      </c>
      <c r="BM5" s="146">
        <f>SUM(AD5,AI5,AN5,AS5,AX5,BC5,BH5)</f>
        <v>86296</v>
      </c>
      <c r="BN5" s="147"/>
      <c r="BO5" s="133">
        <f>+BN5/BL5</f>
        <v>0</v>
      </c>
      <c r="BP5" s="64">
        <v>20118</v>
      </c>
      <c r="BQ5" s="9">
        <f>21273+2500</f>
        <v>23773</v>
      </c>
      <c r="BR5" s="34">
        <v>2006</v>
      </c>
      <c r="BS5" s="66">
        <v>18500</v>
      </c>
      <c r="BT5" s="63">
        <f>+BS5/BQ5</f>
        <v>0.77819374921129014</v>
      </c>
      <c r="BU5" s="64">
        <v>254</v>
      </c>
      <c r="BV5" s="9">
        <v>289</v>
      </c>
      <c r="BW5" s="34">
        <v>0</v>
      </c>
      <c r="BX5" s="59">
        <v>0</v>
      </c>
      <c r="BY5" s="63">
        <f>+BX5/BV5</f>
        <v>0</v>
      </c>
      <c r="BZ5" s="145">
        <f>SUM(BP5,BU5)</f>
        <v>20372</v>
      </c>
      <c r="CA5" s="131">
        <f>SUM(BQ5,BV5)</f>
        <v>24062</v>
      </c>
      <c r="CB5" s="131">
        <f>SUM(BR5,BW5)</f>
        <v>2006</v>
      </c>
      <c r="CC5" s="132">
        <f>BS5+BX5</f>
        <v>18500</v>
      </c>
      <c r="CD5" s="133">
        <f>+CC5/CA5</f>
        <v>0.76884714487573769</v>
      </c>
      <c r="CE5" s="64">
        <v>500</v>
      </c>
      <c r="CF5" s="7">
        <v>127</v>
      </c>
      <c r="CG5" s="12">
        <v>135</v>
      </c>
      <c r="CH5" s="59">
        <v>200</v>
      </c>
      <c r="CI5" s="63">
        <f>+CH5/CF5</f>
        <v>1.5748031496062993</v>
      </c>
      <c r="CJ5" s="156">
        <f>SUM(C5,H5,M5,R5,AB5,AG5,AL5,AQ5,AV5,BA5,BF5,BP5,BU5,CE5)</f>
        <v>399311</v>
      </c>
      <c r="CK5" s="156">
        <f>SUM(D5,I5,N5,S5,AC5,AH5,AM5,AR5,AW5,BB5,BG5,BQ5,BV5,CF5)</f>
        <v>404050</v>
      </c>
      <c r="CL5" s="157">
        <f>SUM(E5,J5,O5,T5,AD5,AI5,AN5,AS5,AX5,BC5,BH5,BR5,BW5,CG5)</f>
        <v>131128</v>
      </c>
      <c r="CM5" s="158">
        <f>SUM(F5,K5,P5,U5,AE5,AJ5,AO5,AT5,AY5,BD5,BI5,BS5,BX5,CH5)</f>
        <v>301030</v>
      </c>
      <c r="CN5" s="133">
        <f>+CM5/CK5</f>
        <v>0.74503155550055689</v>
      </c>
    </row>
    <row r="6" spans="1:92" ht="15.75" x14ac:dyDescent="0.25">
      <c r="A6" s="3" t="s">
        <v>4</v>
      </c>
      <c r="B6" s="16" t="s">
        <v>5</v>
      </c>
      <c r="C6" s="62"/>
      <c r="D6" s="8"/>
      <c r="E6" s="12"/>
      <c r="F6" s="66"/>
      <c r="G6" s="63"/>
      <c r="H6" s="64"/>
      <c r="I6" s="7"/>
      <c r="J6" s="12"/>
      <c r="K6" s="66"/>
      <c r="L6" s="63"/>
      <c r="M6" s="64"/>
      <c r="N6" s="9"/>
      <c r="O6" s="34"/>
      <c r="P6" s="66"/>
      <c r="Q6" s="63"/>
      <c r="R6" s="64"/>
      <c r="S6" s="7"/>
      <c r="T6" s="12"/>
      <c r="U6" s="104"/>
      <c r="V6" s="63"/>
      <c r="W6" s="129">
        <f t="shared" ref="W6:W23" si="0">SUM(C6,H6,M6,R6)</f>
        <v>0</v>
      </c>
      <c r="X6" s="130">
        <f t="shared" ref="X6:X23" si="1">SUM(D6,I6,N6,S6)</f>
        <v>0</v>
      </c>
      <c r="Y6" s="131">
        <f t="shared" ref="Y6:Z23" si="2">SUM(E6,J6,O6,T6)</f>
        <v>0</v>
      </c>
      <c r="Z6" s="134"/>
      <c r="AA6" s="133"/>
      <c r="AB6" s="64"/>
      <c r="AC6" s="7"/>
      <c r="AD6" s="12"/>
      <c r="AE6" s="66"/>
      <c r="AF6" s="63"/>
      <c r="AG6" s="64"/>
      <c r="AH6" s="7"/>
      <c r="AI6" s="12"/>
      <c r="AJ6" s="59"/>
      <c r="AK6" s="63"/>
      <c r="AL6" s="64"/>
      <c r="AM6" s="7"/>
      <c r="AN6" s="12"/>
      <c r="AO6" s="59"/>
      <c r="AP6" s="63"/>
      <c r="AQ6" s="64"/>
      <c r="AR6" s="7"/>
      <c r="AS6" s="12"/>
      <c r="AT6" s="59"/>
      <c r="AU6" s="63"/>
      <c r="AV6" s="64"/>
      <c r="AW6" s="7"/>
      <c r="AX6" s="12"/>
      <c r="AY6" s="59"/>
      <c r="AZ6" s="63"/>
      <c r="BA6" s="64"/>
      <c r="BB6" s="7"/>
      <c r="BC6" s="12"/>
      <c r="BD6" s="59"/>
      <c r="BE6" s="63"/>
      <c r="BF6" s="64"/>
      <c r="BG6" s="9"/>
      <c r="BH6" s="34"/>
      <c r="BI6" s="59"/>
      <c r="BJ6" s="63"/>
      <c r="BK6" s="145">
        <f t="shared" ref="BK6:BK23" si="3">SUM(AB6,AG6,AL6,AQ6,AV6,BA6,BF6)</f>
        <v>0</v>
      </c>
      <c r="BL6" s="131">
        <f t="shared" ref="BL6:BL23" si="4">SUM(AC6,AH6,AM6,AR6,AW6,BB6,BG6)</f>
        <v>0</v>
      </c>
      <c r="BM6" s="146">
        <f t="shared" ref="BM6:BN23" si="5">SUM(AD6,AI6,AN6,AS6,AX6,BC6,BH6)</f>
        <v>0</v>
      </c>
      <c r="BN6" s="147"/>
      <c r="BO6" s="133"/>
      <c r="BP6" s="64"/>
      <c r="BQ6" s="9"/>
      <c r="BR6" s="34"/>
      <c r="BS6" s="66"/>
      <c r="BT6" s="63"/>
      <c r="BU6" s="64"/>
      <c r="BV6" s="9"/>
      <c r="BW6" s="34"/>
      <c r="BX6" s="59"/>
      <c r="BY6" s="63"/>
      <c r="BZ6" s="145">
        <f t="shared" ref="BZ6:BZ23" si="6">SUM(BP6,BU6)</f>
        <v>0</v>
      </c>
      <c r="CA6" s="131">
        <f t="shared" ref="CA6:CA23" si="7">SUM(BQ6,BV6)</f>
        <v>0</v>
      </c>
      <c r="CB6" s="131">
        <f t="shared" ref="CB6:CC23" si="8">SUM(BR6,BW6)</f>
        <v>0</v>
      </c>
      <c r="CC6" s="134"/>
      <c r="CD6" s="133"/>
      <c r="CE6" s="64"/>
      <c r="CF6" s="7"/>
      <c r="CG6" s="12"/>
      <c r="CH6" s="59"/>
      <c r="CI6" s="63"/>
      <c r="CJ6" s="156">
        <f t="shared" ref="CJ6:CJ23" si="9">SUM(C6,H6,M6,R6,AB6,AG6,AL6,AQ6,AV6,BA6,BF6,BP6,BU6,CE6)</f>
        <v>0</v>
      </c>
      <c r="CK6" s="156">
        <f t="shared" ref="CK6:CK23" si="10">SUM(D6,I6,N6,S6,AC6,AH6,AM6,AR6,AW6,BB6,BG6,BQ6,BV6,CF6)</f>
        <v>0</v>
      </c>
      <c r="CL6" s="157">
        <f t="shared" ref="CL6:CL23" si="11">SUM(E6,J6,O6,T6,AD6,AI6,AN6,AS6,AX6,BC6,BH6,BR6,BW6,CG6)</f>
        <v>0</v>
      </c>
      <c r="CM6" s="158">
        <f t="shared" ref="CM6:CM23" si="12">SUM(F6,K6,P6,U6,AE6,AJ6,AO6,AT6,AY6,BD6,BI6,BS6,BX6,CH6)</f>
        <v>0</v>
      </c>
      <c r="CN6" s="133"/>
    </row>
    <row r="7" spans="1:92" ht="15.75" x14ac:dyDescent="0.25">
      <c r="A7" s="3" t="s">
        <v>6</v>
      </c>
      <c r="B7" s="5" t="s">
        <v>7</v>
      </c>
      <c r="C7" s="62">
        <v>72751</v>
      </c>
      <c r="D7" s="8">
        <v>66008</v>
      </c>
      <c r="E7" s="12">
        <v>37269</v>
      </c>
      <c r="F7" s="66">
        <f>E7+7500+20000</f>
        <v>64769</v>
      </c>
      <c r="G7" s="63">
        <f t="shared" ref="G7:G23" si="13">+F7/D7</f>
        <v>0.98122954793358386</v>
      </c>
      <c r="H7" s="64">
        <v>0</v>
      </c>
      <c r="I7" s="7">
        <v>0</v>
      </c>
      <c r="J7" s="12">
        <v>0</v>
      </c>
      <c r="K7" s="66">
        <f>J7+0</f>
        <v>0</v>
      </c>
      <c r="L7" s="63"/>
      <c r="M7" s="64">
        <v>21400</v>
      </c>
      <c r="N7" s="9">
        <v>19000</v>
      </c>
      <c r="O7" s="34">
        <v>10500</v>
      </c>
      <c r="P7" s="66">
        <f>O7+10500</f>
        <v>21000</v>
      </c>
      <c r="Q7" s="63">
        <f t="shared" ref="Q7:Q23" si="14">+P7/N7</f>
        <v>1.1052631578947369</v>
      </c>
      <c r="R7" s="64">
        <v>16500</v>
      </c>
      <c r="S7" s="7">
        <v>18500</v>
      </c>
      <c r="T7" s="12">
        <v>18500</v>
      </c>
      <c r="U7" s="103">
        <f>T7+0</f>
        <v>18500</v>
      </c>
      <c r="V7" s="63">
        <f t="shared" ref="V7:V23" si="15">+U7/S7</f>
        <v>1</v>
      </c>
      <c r="W7" s="129">
        <f t="shared" si="0"/>
        <v>110651</v>
      </c>
      <c r="X7" s="130">
        <f t="shared" si="1"/>
        <v>103508</v>
      </c>
      <c r="Y7" s="131">
        <f t="shared" si="2"/>
        <v>66269</v>
      </c>
      <c r="Z7" s="132">
        <f>F7+K7+P7+U7</f>
        <v>104269</v>
      </c>
      <c r="AA7" s="133">
        <f t="shared" ref="AA7:AA23" si="16">+Z7/X7</f>
        <v>1.0073520887274414</v>
      </c>
      <c r="AB7" s="64">
        <v>0</v>
      </c>
      <c r="AC7" s="7">
        <v>0</v>
      </c>
      <c r="AD7" s="12">
        <v>0</v>
      </c>
      <c r="AE7" s="66">
        <f>AD7+0</f>
        <v>0</v>
      </c>
      <c r="AF7" s="63"/>
      <c r="AG7" s="64">
        <v>0</v>
      </c>
      <c r="AH7" s="7">
        <v>0</v>
      </c>
      <c r="AI7" s="12">
        <v>0</v>
      </c>
      <c r="AJ7" s="65">
        <f>AI7+0</f>
        <v>0</v>
      </c>
      <c r="AK7" s="63"/>
      <c r="AL7" s="64">
        <v>1000</v>
      </c>
      <c r="AM7" s="7">
        <v>0</v>
      </c>
      <c r="AN7" s="12">
        <v>0</v>
      </c>
      <c r="AO7" s="65">
        <f>AN7+0</f>
        <v>0</v>
      </c>
      <c r="AP7" s="63"/>
      <c r="AQ7" s="64">
        <v>2000</v>
      </c>
      <c r="AR7" s="7">
        <v>0</v>
      </c>
      <c r="AS7" s="12">
        <v>0</v>
      </c>
      <c r="AT7" s="65">
        <f>AS7+0</f>
        <v>0</v>
      </c>
      <c r="AU7" s="63"/>
      <c r="AV7" s="64">
        <v>1416</v>
      </c>
      <c r="AW7" s="7">
        <v>0</v>
      </c>
      <c r="AX7" s="12">
        <v>0</v>
      </c>
      <c r="AY7" s="65">
        <f>AX7+0</f>
        <v>0</v>
      </c>
      <c r="AZ7" s="63"/>
      <c r="BA7" s="64">
        <v>19700</v>
      </c>
      <c r="BB7" s="7">
        <f>21000+3635</f>
        <v>24635</v>
      </c>
      <c r="BC7" s="12">
        <v>12832</v>
      </c>
      <c r="BD7" s="65">
        <f>BC7+12000</f>
        <v>24832</v>
      </c>
      <c r="BE7" s="63">
        <f t="shared" ref="BE7:BE23" si="17">+BD7/BB7</f>
        <v>1.0079967525877815</v>
      </c>
      <c r="BF7" s="64">
        <v>0</v>
      </c>
      <c r="BG7" s="9">
        <v>6000</v>
      </c>
      <c r="BH7" s="34"/>
      <c r="BI7" s="65">
        <f>BH7+0</f>
        <v>0</v>
      </c>
      <c r="BJ7" s="63">
        <f t="shared" ref="BJ7:BJ23" si="18">+BI7/BG7</f>
        <v>0</v>
      </c>
      <c r="BK7" s="145">
        <f t="shared" si="3"/>
        <v>24116</v>
      </c>
      <c r="BL7" s="131">
        <f t="shared" si="4"/>
        <v>30635</v>
      </c>
      <c r="BM7" s="146">
        <f t="shared" si="5"/>
        <v>12832</v>
      </c>
      <c r="BN7" s="148">
        <f>AE7+AJ7+AO7+AT7+AY7+BD7+BI7</f>
        <v>24832</v>
      </c>
      <c r="BO7" s="133">
        <f t="shared" ref="BO7:BO23" si="19">+BN7/BL7</f>
        <v>0.81057613840378651</v>
      </c>
      <c r="BP7" s="64">
        <v>88500</v>
      </c>
      <c r="BQ7" s="9">
        <v>110500</v>
      </c>
      <c r="BR7" s="34">
        <v>54000</v>
      </c>
      <c r="BS7" s="66">
        <f>BR7+54000</f>
        <v>108000</v>
      </c>
      <c r="BT7" s="63">
        <f t="shared" ref="BT7:BT23" si="20">+BS7/BQ7</f>
        <v>0.9773755656108597</v>
      </c>
      <c r="BU7" s="64">
        <v>38700</v>
      </c>
      <c r="BV7" s="9">
        <v>40000</v>
      </c>
      <c r="BW7" s="34">
        <v>21000</v>
      </c>
      <c r="BX7" s="65">
        <f>BW7+22000</f>
        <v>43000</v>
      </c>
      <c r="BY7" s="63">
        <f t="shared" ref="BY7:BY23" si="21">+BX7/BV7</f>
        <v>1.075</v>
      </c>
      <c r="BZ7" s="145">
        <f t="shared" si="6"/>
        <v>127200</v>
      </c>
      <c r="CA7" s="131">
        <f t="shared" si="7"/>
        <v>150500</v>
      </c>
      <c r="CB7" s="131">
        <f t="shared" si="8"/>
        <v>75000</v>
      </c>
      <c r="CC7" s="132">
        <f>BS7+BX7</f>
        <v>151000</v>
      </c>
      <c r="CD7" s="133">
        <f t="shared" ref="CD7:CD23" si="22">+CC7/CA7</f>
        <v>1.0033222591362125</v>
      </c>
      <c r="CE7" s="64">
        <v>3851</v>
      </c>
      <c r="CF7" s="7">
        <v>525</v>
      </c>
      <c r="CG7" s="12">
        <v>108</v>
      </c>
      <c r="CH7" s="65">
        <f>CG7+0</f>
        <v>108</v>
      </c>
      <c r="CI7" s="63">
        <f t="shared" ref="CI7:CI23" si="23">+CH7/CF7</f>
        <v>0.20571428571428571</v>
      </c>
      <c r="CJ7" s="156">
        <f t="shared" si="9"/>
        <v>265818</v>
      </c>
      <c r="CK7" s="156">
        <f t="shared" si="10"/>
        <v>285168</v>
      </c>
      <c r="CL7" s="157">
        <f t="shared" si="11"/>
        <v>154209</v>
      </c>
      <c r="CM7" s="158">
        <f t="shared" si="12"/>
        <v>280209</v>
      </c>
      <c r="CN7" s="133">
        <f t="shared" ref="CN7:CN23" si="24">+CM7/CK7</f>
        <v>0.98261025079952868</v>
      </c>
    </row>
    <row r="8" spans="1:92" ht="15.75" x14ac:dyDescent="0.25">
      <c r="A8" s="3" t="s">
        <v>8</v>
      </c>
      <c r="B8" s="5" t="s">
        <v>9</v>
      </c>
      <c r="C8" s="62">
        <v>62876</v>
      </c>
      <c r="D8" s="8">
        <v>64290</v>
      </c>
      <c r="E8" s="12">
        <v>24554</v>
      </c>
      <c r="F8" s="66">
        <f>E8+29585</f>
        <v>54139</v>
      </c>
      <c r="G8" s="63">
        <f t="shared" si="13"/>
        <v>0.84210608181676783</v>
      </c>
      <c r="H8" s="64">
        <v>5765</v>
      </c>
      <c r="I8" s="7">
        <v>6100</v>
      </c>
      <c r="J8" s="12">
        <v>1649</v>
      </c>
      <c r="K8" s="66">
        <f>J8+2363</f>
        <v>4012</v>
      </c>
      <c r="L8" s="63">
        <f t="shared" ref="L8:L23" si="25">+K8/I8</f>
        <v>0.65770491803278686</v>
      </c>
      <c r="M8" s="64">
        <v>5830</v>
      </c>
      <c r="N8" s="9">
        <f>3758+262</f>
        <v>4020</v>
      </c>
      <c r="O8" s="34">
        <v>2117</v>
      </c>
      <c r="P8" s="66">
        <f>O8+1786</f>
        <v>3903</v>
      </c>
      <c r="Q8" s="63">
        <f t="shared" si="14"/>
        <v>0.97089552238805965</v>
      </c>
      <c r="R8" s="64">
        <v>249</v>
      </c>
      <c r="S8" s="7">
        <v>0</v>
      </c>
      <c r="T8" s="12">
        <v>0</v>
      </c>
      <c r="U8" s="103">
        <f>T8+0</f>
        <v>0</v>
      </c>
      <c r="V8" s="63"/>
      <c r="W8" s="129">
        <f t="shared" si="0"/>
        <v>74720</v>
      </c>
      <c r="X8" s="130">
        <f t="shared" si="1"/>
        <v>74410</v>
      </c>
      <c r="Y8" s="131">
        <f t="shared" si="2"/>
        <v>28320</v>
      </c>
      <c r="Z8" s="132">
        <f>F8+K8+P8+U8</f>
        <v>62054</v>
      </c>
      <c r="AA8" s="133">
        <f t="shared" si="16"/>
        <v>0.83394705012767101</v>
      </c>
      <c r="AB8" s="64">
        <v>3445</v>
      </c>
      <c r="AC8" s="7">
        <f>1584+1115</f>
        <v>2699</v>
      </c>
      <c r="AD8" s="12">
        <v>862</v>
      </c>
      <c r="AE8" s="66">
        <f>AD8+896</f>
        <v>1758</v>
      </c>
      <c r="AF8" s="63">
        <f t="shared" ref="AF8:AF23" si="26">+AE8/AC8</f>
        <v>0.65135235272323078</v>
      </c>
      <c r="AG8" s="64">
        <v>280</v>
      </c>
      <c r="AH8" s="7">
        <f>428+2000</f>
        <v>2428</v>
      </c>
      <c r="AI8" s="12">
        <v>167</v>
      </c>
      <c r="AJ8" s="65">
        <f>AI8+110</f>
        <v>277</v>
      </c>
      <c r="AK8" s="63">
        <f t="shared" ref="AK8:AK23" si="27">+AJ8/AH8</f>
        <v>0.11408566721581549</v>
      </c>
      <c r="AL8" s="64">
        <v>3605</v>
      </c>
      <c r="AM8" s="7">
        <v>4907</v>
      </c>
      <c r="AN8" s="12">
        <v>3129</v>
      </c>
      <c r="AO8" s="65">
        <f>AN8+2055</f>
        <v>5184</v>
      </c>
      <c r="AP8" s="63">
        <f t="shared" ref="AP8:AP23" si="28">+AO8/AM8</f>
        <v>1.0564499694314244</v>
      </c>
      <c r="AQ8" s="64">
        <v>1025</v>
      </c>
      <c r="AR8" s="7">
        <v>634</v>
      </c>
      <c r="AS8" s="12">
        <v>255</v>
      </c>
      <c r="AT8" s="65">
        <f>AS8+315</f>
        <v>570</v>
      </c>
      <c r="AU8" s="63">
        <f t="shared" ref="AU8:AU23" si="29">+AT8/AR8</f>
        <v>0.89905362776025233</v>
      </c>
      <c r="AV8" s="64">
        <v>27108</v>
      </c>
      <c r="AW8" s="7">
        <v>24395</v>
      </c>
      <c r="AX8" s="12">
        <v>18497</v>
      </c>
      <c r="AY8" s="65">
        <f>AX8+10275</f>
        <v>28772</v>
      </c>
      <c r="AZ8" s="63">
        <f t="shared" ref="AZ8:AZ23" si="30">+AY8/AW8</f>
        <v>1.1794220127075221</v>
      </c>
      <c r="BA8" s="64">
        <v>3620</v>
      </c>
      <c r="BB8" s="7">
        <f>5162-2000</f>
        <v>3162</v>
      </c>
      <c r="BC8" s="12">
        <v>3015</v>
      </c>
      <c r="BD8" s="65">
        <f>BC8+2032</f>
        <v>5047</v>
      </c>
      <c r="BE8" s="63">
        <f t="shared" si="17"/>
        <v>1.5961416824794434</v>
      </c>
      <c r="BF8" s="64">
        <v>7177</v>
      </c>
      <c r="BG8" s="9">
        <v>6155</v>
      </c>
      <c r="BH8" s="34">
        <v>3661</v>
      </c>
      <c r="BI8" s="65">
        <f>BH8+2546</f>
        <v>6207</v>
      </c>
      <c r="BJ8" s="63">
        <f t="shared" si="18"/>
        <v>1.0084484159220146</v>
      </c>
      <c r="BK8" s="145">
        <f t="shared" si="3"/>
        <v>46260</v>
      </c>
      <c r="BL8" s="131">
        <f t="shared" si="4"/>
        <v>44380</v>
      </c>
      <c r="BM8" s="146">
        <f t="shared" si="5"/>
        <v>29586</v>
      </c>
      <c r="BN8" s="148">
        <f t="shared" ref="BN8:BN11" si="31">AE8+AJ8+AO8+AT8+AY8+BD8+BI8</f>
        <v>47815</v>
      </c>
      <c r="BO8" s="133">
        <f t="shared" si="19"/>
        <v>1.0773997296079314</v>
      </c>
      <c r="BP8" s="64">
        <v>7731</v>
      </c>
      <c r="BQ8" s="9">
        <v>6644</v>
      </c>
      <c r="BR8" s="34">
        <v>3876</v>
      </c>
      <c r="BS8" s="66">
        <f>BR8+2900</f>
        <v>6776</v>
      </c>
      <c r="BT8" s="63">
        <f t="shared" si="20"/>
        <v>1.0198675496688743</v>
      </c>
      <c r="BU8" s="64">
        <v>352</v>
      </c>
      <c r="BV8" s="9">
        <v>232</v>
      </c>
      <c r="BW8" s="34">
        <v>81</v>
      </c>
      <c r="BX8" s="65">
        <f>BW8+87</f>
        <v>168</v>
      </c>
      <c r="BY8" s="63">
        <f t="shared" si="21"/>
        <v>0.72413793103448276</v>
      </c>
      <c r="BZ8" s="145">
        <f t="shared" si="6"/>
        <v>8083</v>
      </c>
      <c r="CA8" s="131">
        <f t="shared" si="7"/>
        <v>6876</v>
      </c>
      <c r="CB8" s="131">
        <f t="shared" si="8"/>
        <v>3957</v>
      </c>
      <c r="CC8" s="132">
        <f t="shared" ref="CC8:CC11" si="32">BS8+BX8</f>
        <v>6944</v>
      </c>
      <c r="CD8" s="133">
        <f t="shared" si="22"/>
        <v>1.0098894706224548</v>
      </c>
      <c r="CE8" s="64">
        <v>1567</v>
      </c>
      <c r="CF8" s="7">
        <f>3936-1115</f>
        <v>2821</v>
      </c>
      <c r="CG8" s="12">
        <v>1738</v>
      </c>
      <c r="CH8" s="65">
        <f>CG8+1677</f>
        <v>3415</v>
      </c>
      <c r="CI8" s="63">
        <f t="shared" si="23"/>
        <v>1.2105636299184686</v>
      </c>
      <c r="CJ8" s="156">
        <f t="shared" si="9"/>
        <v>130630</v>
      </c>
      <c r="CK8" s="156">
        <f t="shared" si="10"/>
        <v>128487</v>
      </c>
      <c r="CL8" s="157">
        <f t="shared" si="11"/>
        <v>63601</v>
      </c>
      <c r="CM8" s="158">
        <f t="shared" si="12"/>
        <v>120228</v>
      </c>
      <c r="CN8" s="133">
        <f t="shared" si="24"/>
        <v>0.9357211235377898</v>
      </c>
    </row>
    <row r="9" spans="1:92" ht="15.75" x14ac:dyDescent="0.25">
      <c r="A9" s="3" t="s">
        <v>10</v>
      </c>
      <c r="B9" s="5" t="s">
        <v>11</v>
      </c>
      <c r="C9" s="62">
        <v>58100</v>
      </c>
      <c r="D9" s="8">
        <v>51682</v>
      </c>
      <c r="E9" s="12">
        <v>23403</v>
      </c>
      <c r="F9" s="66">
        <f>E9+31206</f>
        <v>54609</v>
      </c>
      <c r="G9" s="63">
        <f t="shared" si="13"/>
        <v>1.0566348051545993</v>
      </c>
      <c r="H9" s="64">
        <v>11957</v>
      </c>
      <c r="I9" s="7">
        <v>11485</v>
      </c>
      <c r="J9" s="12">
        <v>6331</v>
      </c>
      <c r="K9" s="66">
        <f>J9+5404</f>
        <v>11735</v>
      </c>
      <c r="L9" s="63">
        <f t="shared" si="25"/>
        <v>1.0217675228558989</v>
      </c>
      <c r="M9" s="64">
        <v>2055</v>
      </c>
      <c r="N9" s="9">
        <f>1007+3000</f>
        <v>4007</v>
      </c>
      <c r="O9" s="34">
        <v>1379</v>
      </c>
      <c r="P9" s="66">
        <f>O9+541</f>
        <v>1920</v>
      </c>
      <c r="Q9" s="63">
        <f t="shared" si="14"/>
        <v>0.479161467431994</v>
      </c>
      <c r="R9" s="64">
        <f>10959+3000</f>
        <v>13959</v>
      </c>
      <c r="S9" s="7">
        <f>11827+3130</f>
        <v>14957</v>
      </c>
      <c r="T9" s="12">
        <v>4859</v>
      </c>
      <c r="U9" s="103">
        <f>T9+8547</f>
        <v>13406</v>
      </c>
      <c r="V9" s="63">
        <f t="shared" si="15"/>
        <v>0.89630273450558262</v>
      </c>
      <c r="W9" s="129">
        <f t="shared" si="0"/>
        <v>86071</v>
      </c>
      <c r="X9" s="130">
        <f t="shared" si="1"/>
        <v>82131</v>
      </c>
      <c r="Y9" s="131">
        <f t="shared" si="2"/>
        <v>35972</v>
      </c>
      <c r="Z9" s="132">
        <f t="shared" ref="Z9:Z11" si="33">F9+K9+P9+U9</f>
        <v>81670</v>
      </c>
      <c r="AA9" s="133">
        <f t="shared" si="16"/>
        <v>0.99438701586489875</v>
      </c>
      <c r="AB9" s="64">
        <v>4463</v>
      </c>
      <c r="AC9" s="7">
        <v>4147</v>
      </c>
      <c r="AD9" s="12">
        <v>1664</v>
      </c>
      <c r="AE9" s="66">
        <f>AD9+2243</f>
        <v>3907</v>
      </c>
      <c r="AF9" s="63">
        <f t="shared" si="26"/>
        <v>0.94212683867856284</v>
      </c>
      <c r="AG9" s="64">
        <v>592</v>
      </c>
      <c r="AH9" s="7">
        <f>512+1000+500</f>
        <v>2012</v>
      </c>
      <c r="AI9" s="12">
        <v>472</v>
      </c>
      <c r="AJ9" s="65">
        <f>AI9+238</f>
        <v>710</v>
      </c>
      <c r="AK9" s="63">
        <f t="shared" si="27"/>
        <v>0.35288270377733599</v>
      </c>
      <c r="AL9" s="64">
        <v>2132</v>
      </c>
      <c r="AM9" s="7">
        <v>1205</v>
      </c>
      <c r="AN9" s="12">
        <v>1359</v>
      </c>
      <c r="AO9" s="65">
        <f>AN9+533</f>
        <v>1892</v>
      </c>
      <c r="AP9" s="63">
        <f t="shared" si="28"/>
        <v>1.5701244813278008</v>
      </c>
      <c r="AQ9" s="64">
        <v>2315</v>
      </c>
      <c r="AR9" s="7">
        <v>380</v>
      </c>
      <c r="AS9" s="12">
        <v>196</v>
      </c>
      <c r="AT9" s="65">
        <f>AS9+179</f>
        <v>375</v>
      </c>
      <c r="AU9" s="63">
        <f t="shared" si="29"/>
        <v>0.98684210526315785</v>
      </c>
      <c r="AV9" s="64">
        <v>7050</v>
      </c>
      <c r="AW9" s="7">
        <v>6757</v>
      </c>
      <c r="AX9" s="12">
        <v>3318</v>
      </c>
      <c r="AY9" s="65">
        <f>AX9+3653</f>
        <v>6971</v>
      </c>
      <c r="AZ9" s="63">
        <f t="shared" si="30"/>
        <v>1.0316708598490454</v>
      </c>
      <c r="BA9" s="64">
        <v>2272</v>
      </c>
      <c r="BB9" s="7">
        <f>2807-1000</f>
        <v>1807</v>
      </c>
      <c r="BC9" s="12">
        <v>2542</v>
      </c>
      <c r="BD9" s="65">
        <f>BC9+1829</f>
        <v>4371</v>
      </c>
      <c r="BE9" s="63">
        <f t="shared" si="17"/>
        <v>2.4189263973436637</v>
      </c>
      <c r="BF9" s="64">
        <v>3715</v>
      </c>
      <c r="BG9" s="9">
        <v>4887</v>
      </c>
      <c r="BH9" s="34">
        <v>1183</v>
      </c>
      <c r="BI9" s="65">
        <f>BH9+1497</f>
        <v>2680</v>
      </c>
      <c r="BJ9" s="63">
        <f t="shared" si="18"/>
        <v>0.54839369756496825</v>
      </c>
      <c r="BK9" s="145">
        <f t="shared" si="3"/>
        <v>22539</v>
      </c>
      <c r="BL9" s="131">
        <f t="shared" si="4"/>
        <v>21195</v>
      </c>
      <c r="BM9" s="146">
        <f t="shared" si="5"/>
        <v>10734</v>
      </c>
      <c r="BN9" s="148">
        <f t="shared" si="31"/>
        <v>20906</v>
      </c>
      <c r="BO9" s="133">
        <f t="shared" si="19"/>
        <v>0.98636470865770232</v>
      </c>
      <c r="BP9" s="64">
        <v>61206</v>
      </c>
      <c r="BQ9" s="9">
        <v>70581</v>
      </c>
      <c r="BR9" s="34">
        <v>9986</v>
      </c>
      <c r="BS9" s="66">
        <v>36424</v>
      </c>
      <c r="BT9" s="63">
        <f t="shared" si="20"/>
        <v>0.51605956277185083</v>
      </c>
      <c r="BU9" s="64">
        <v>10558</v>
      </c>
      <c r="BV9" s="9">
        <v>10610</v>
      </c>
      <c r="BW9" s="34">
        <v>5897</v>
      </c>
      <c r="BX9" s="65">
        <f>BW9+5744</f>
        <v>11641</v>
      </c>
      <c r="BY9" s="63">
        <f t="shared" si="21"/>
        <v>1.097172478793591</v>
      </c>
      <c r="BZ9" s="145">
        <f t="shared" si="6"/>
        <v>71764</v>
      </c>
      <c r="CA9" s="131">
        <f t="shared" si="7"/>
        <v>81191</v>
      </c>
      <c r="CB9" s="131">
        <f t="shared" si="8"/>
        <v>15883</v>
      </c>
      <c r="CC9" s="132">
        <f t="shared" si="32"/>
        <v>48065</v>
      </c>
      <c r="CD9" s="133">
        <f t="shared" si="22"/>
        <v>0.59199911320220222</v>
      </c>
      <c r="CE9" s="64">
        <v>3262</v>
      </c>
      <c r="CF9" s="7">
        <f>3745-500</f>
        <v>3245</v>
      </c>
      <c r="CG9" s="12">
        <v>1861</v>
      </c>
      <c r="CH9" s="65">
        <f>CG9+1087</f>
        <v>2948</v>
      </c>
      <c r="CI9" s="63">
        <f t="shared" si="23"/>
        <v>0.90847457627118644</v>
      </c>
      <c r="CJ9" s="156">
        <f t="shared" si="9"/>
        <v>183636</v>
      </c>
      <c r="CK9" s="156">
        <f t="shared" si="10"/>
        <v>187762</v>
      </c>
      <c r="CL9" s="157">
        <f t="shared" si="11"/>
        <v>64450</v>
      </c>
      <c r="CM9" s="158">
        <f t="shared" si="12"/>
        <v>153589</v>
      </c>
      <c r="CN9" s="133">
        <f t="shared" si="24"/>
        <v>0.81799831701835302</v>
      </c>
    </row>
    <row r="10" spans="1:92" ht="15.75" x14ac:dyDescent="0.25">
      <c r="A10" s="3" t="s">
        <v>12</v>
      </c>
      <c r="B10" s="5" t="s">
        <v>13</v>
      </c>
      <c r="C10" s="62">
        <v>8344</v>
      </c>
      <c r="D10" s="8">
        <v>8987</v>
      </c>
      <c r="E10" s="12">
        <v>2695</v>
      </c>
      <c r="F10" s="66">
        <f>E10+5255</f>
        <v>7950</v>
      </c>
      <c r="G10" s="63">
        <f t="shared" si="13"/>
        <v>0.88461110492934236</v>
      </c>
      <c r="H10" s="64">
        <v>68</v>
      </c>
      <c r="I10" s="7">
        <v>198</v>
      </c>
      <c r="J10" s="12">
        <v>83</v>
      </c>
      <c r="K10" s="66">
        <f>J10+126</f>
        <v>209</v>
      </c>
      <c r="L10" s="63">
        <f t="shared" si="25"/>
        <v>1.0555555555555556</v>
      </c>
      <c r="M10" s="64">
        <v>43</v>
      </c>
      <c r="N10" s="9">
        <v>0</v>
      </c>
      <c r="O10" s="34">
        <v>0</v>
      </c>
      <c r="P10" s="66">
        <f>O10+0</f>
        <v>0</v>
      </c>
      <c r="Q10" s="63"/>
      <c r="R10" s="64">
        <v>0</v>
      </c>
      <c r="S10" s="7">
        <v>0</v>
      </c>
      <c r="T10" s="12">
        <v>0</v>
      </c>
      <c r="U10" s="103">
        <f>T10+0</f>
        <v>0</v>
      </c>
      <c r="V10" s="63"/>
      <c r="W10" s="129">
        <f t="shared" si="0"/>
        <v>8455</v>
      </c>
      <c r="X10" s="130">
        <f t="shared" si="1"/>
        <v>9185</v>
      </c>
      <c r="Y10" s="131">
        <f t="shared" si="2"/>
        <v>2778</v>
      </c>
      <c r="Z10" s="132">
        <f t="shared" si="33"/>
        <v>8159</v>
      </c>
      <c r="AA10" s="133">
        <f t="shared" si="16"/>
        <v>0.88829613500272186</v>
      </c>
      <c r="AB10" s="64">
        <v>326</v>
      </c>
      <c r="AC10" s="7">
        <v>106</v>
      </c>
      <c r="AD10" s="12">
        <v>51</v>
      </c>
      <c r="AE10" s="66">
        <f>AD10+61</f>
        <v>112</v>
      </c>
      <c r="AF10" s="63">
        <f t="shared" si="26"/>
        <v>1.0566037735849056</v>
      </c>
      <c r="AG10" s="64">
        <v>66</v>
      </c>
      <c r="AH10" s="7">
        <v>170</v>
      </c>
      <c r="AI10" s="12">
        <v>0</v>
      </c>
      <c r="AJ10" s="65">
        <f>AI10+0</f>
        <v>0</v>
      </c>
      <c r="AK10" s="63">
        <f t="shared" si="27"/>
        <v>0</v>
      </c>
      <c r="AL10" s="64">
        <v>13</v>
      </c>
      <c r="AM10" s="7">
        <v>0</v>
      </c>
      <c r="AN10" s="12">
        <v>0</v>
      </c>
      <c r="AO10" s="65">
        <f>AN10+0</f>
        <v>0</v>
      </c>
      <c r="AP10" s="63"/>
      <c r="AQ10" s="64">
        <v>10</v>
      </c>
      <c r="AR10" s="7">
        <v>0</v>
      </c>
      <c r="AS10" s="12">
        <v>0</v>
      </c>
      <c r="AT10" s="65">
        <f>AS10+0</f>
        <v>0</v>
      </c>
      <c r="AU10" s="63"/>
      <c r="AV10" s="64">
        <v>193</v>
      </c>
      <c r="AW10" s="7">
        <v>83</v>
      </c>
      <c r="AX10" s="12">
        <v>52</v>
      </c>
      <c r="AY10" s="65">
        <f>AX10+33</f>
        <v>85</v>
      </c>
      <c r="AZ10" s="63">
        <f t="shared" si="30"/>
        <v>1.0240963855421688</v>
      </c>
      <c r="BA10" s="64">
        <v>348</v>
      </c>
      <c r="BB10" s="7">
        <v>527</v>
      </c>
      <c r="BC10" s="12">
        <v>326</v>
      </c>
      <c r="BD10" s="65">
        <f>BC10+403</f>
        <v>729</v>
      </c>
      <c r="BE10" s="63">
        <f t="shared" si="17"/>
        <v>1.3833017077798861</v>
      </c>
      <c r="BF10" s="64">
        <v>48</v>
      </c>
      <c r="BG10" s="9">
        <v>13</v>
      </c>
      <c r="BH10" s="34">
        <v>0</v>
      </c>
      <c r="BI10" s="65">
        <f>BH10+0</f>
        <v>0</v>
      </c>
      <c r="BJ10" s="63">
        <f t="shared" si="18"/>
        <v>0</v>
      </c>
      <c r="BK10" s="145">
        <f t="shared" si="3"/>
        <v>1004</v>
      </c>
      <c r="BL10" s="131">
        <f t="shared" si="4"/>
        <v>899</v>
      </c>
      <c r="BM10" s="146">
        <f t="shared" si="5"/>
        <v>429</v>
      </c>
      <c r="BN10" s="148">
        <f t="shared" si="31"/>
        <v>926</v>
      </c>
      <c r="BO10" s="133">
        <f t="shared" si="19"/>
        <v>1.0300333704115685</v>
      </c>
      <c r="BP10" s="64">
        <v>65</v>
      </c>
      <c r="BQ10" s="9">
        <v>116</v>
      </c>
      <c r="BR10" s="34">
        <v>0</v>
      </c>
      <c r="BS10" s="66">
        <f>BR10+97</f>
        <v>97</v>
      </c>
      <c r="BT10" s="63">
        <f t="shared" si="20"/>
        <v>0.83620689655172409</v>
      </c>
      <c r="BU10" s="64">
        <v>0</v>
      </c>
      <c r="BV10" s="9">
        <v>0</v>
      </c>
      <c r="BW10" s="34">
        <v>0</v>
      </c>
      <c r="BX10" s="65">
        <f>BW10+0</f>
        <v>0</v>
      </c>
      <c r="BY10" s="63"/>
      <c r="BZ10" s="145">
        <f t="shared" si="6"/>
        <v>65</v>
      </c>
      <c r="CA10" s="131">
        <f t="shared" si="7"/>
        <v>116</v>
      </c>
      <c r="CB10" s="131">
        <f t="shared" si="8"/>
        <v>0</v>
      </c>
      <c r="CC10" s="132">
        <f t="shared" si="32"/>
        <v>97</v>
      </c>
      <c r="CD10" s="133">
        <f t="shared" si="22"/>
        <v>0.83620689655172409</v>
      </c>
      <c r="CE10" s="64">
        <v>320</v>
      </c>
      <c r="CF10" s="7">
        <v>28</v>
      </c>
      <c r="CG10" s="12">
        <v>0</v>
      </c>
      <c r="CH10" s="65">
        <f>CG10+28</f>
        <v>28</v>
      </c>
      <c r="CI10" s="63">
        <f t="shared" si="23"/>
        <v>1</v>
      </c>
      <c r="CJ10" s="156">
        <f t="shared" si="9"/>
        <v>9844</v>
      </c>
      <c r="CK10" s="156">
        <f t="shared" si="10"/>
        <v>10228</v>
      </c>
      <c r="CL10" s="157">
        <f t="shared" si="11"/>
        <v>3207</v>
      </c>
      <c r="CM10" s="158">
        <f t="shared" si="12"/>
        <v>9210</v>
      </c>
      <c r="CN10" s="133">
        <f t="shared" si="24"/>
        <v>0.90046929996089164</v>
      </c>
    </row>
    <row r="11" spans="1:92" ht="15.75" x14ac:dyDescent="0.25">
      <c r="A11" s="3" t="s">
        <v>14</v>
      </c>
      <c r="B11" s="5" t="s">
        <v>15</v>
      </c>
      <c r="C11" s="62">
        <v>978</v>
      </c>
      <c r="D11" s="8">
        <v>1308</v>
      </c>
      <c r="E11" s="12">
        <v>295</v>
      </c>
      <c r="F11" s="66">
        <f>E11+645</f>
        <v>940</v>
      </c>
      <c r="G11" s="63">
        <f t="shared" si="13"/>
        <v>0.71865443425076447</v>
      </c>
      <c r="H11" s="64">
        <v>2657</v>
      </c>
      <c r="I11" s="7">
        <v>2128</v>
      </c>
      <c r="J11" s="12">
        <v>158</v>
      </c>
      <c r="K11" s="66">
        <f>J11+1114</f>
        <v>1272</v>
      </c>
      <c r="L11" s="63">
        <f t="shared" si="25"/>
        <v>0.59774436090225569</v>
      </c>
      <c r="M11" s="64">
        <v>2586</v>
      </c>
      <c r="N11" s="9">
        <v>2080</v>
      </c>
      <c r="O11" s="34">
        <v>724</v>
      </c>
      <c r="P11" s="66">
        <f>O11+1045</f>
        <v>1769</v>
      </c>
      <c r="Q11" s="63">
        <f t="shared" si="14"/>
        <v>0.85048076923076921</v>
      </c>
      <c r="R11" s="64">
        <v>0</v>
      </c>
      <c r="S11" s="7">
        <v>0</v>
      </c>
      <c r="T11" s="12">
        <v>0</v>
      </c>
      <c r="U11" s="103">
        <f>T11+0</f>
        <v>0</v>
      </c>
      <c r="V11" s="63"/>
      <c r="W11" s="129">
        <f t="shared" si="0"/>
        <v>6221</v>
      </c>
      <c r="X11" s="130">
        <f t="shared" si="1"/>
        <v>5516</v>
      </c>
      <c r="Y11" s="131">
        <f t="shared" si="2"/>
        <v>1177</v>
      </c>
      <c r="Z11" s="132">
        <f t="shared" si="33"/>
        <v>3981</v>
      </c>
      <c r="AA11" s="133">
        <f t="shared" si="16"/>
        <v>0.72171863669325598</v>
      </c>
      <c r="AB11" s="64">
        <v>285</v>
      </c>
      <c r="AC11" s="7">
        <v>1522</v>
      </c>
      <c r="AD11" s="12">
        <v>1457</v>
      </c>
      <c r="AE11" s="66">
        <f>AD11+285</f>
        <v>1742</v>
      </c>
      <c r="AF11" s="63">
        <f t="shared" si="26"/>
        <v>1.1445466491458607</v>
      </c>
      <c r="AG11" s="64">
        <v>462</v>
      </c>
      <c r="AH11" s="7">
        <v>594</v>
      </c>
      <c r="AI11" s="12">
        <v>213</v>
      </c>
      <c r="AJ11" s="65">
        <f>AI11+329</f>
        <v>542</v>
      </c>
      <c r="AK11" s="63">
        <f t="shared" si="27"/>
        <v>0.91245791245791241</v>
      </c>
      <c r="AL11" s="64">
        <v>45</v>
      </c>
      <c r="AM11" s="7">
        <v>285</v>
      </c>
      <c r="AN11" s="12">
        <v>60</v>
      </c>
      <c r="AO11" s="65">
        <f>AN11+185</f>
        <v>245</v>
      </c>
      <c r="AP11" s="63">
        <f t="shared" si="28"/>
        <v>0.85964912280701755</v>
      </c>
      <c r="AQ11" s="64">
        <v>297</v>
      </c>
      <c r="AR11" s="7">
        <v>447</v>
      </c>
      <c r="AS11" s="12">
        <v>229</v>
      </c>
      <c r="AT11" s="65">
        <f>AS11+162</f>
        <v>391</v>
      </c>
      <c r="AU11" s="63">
        <f t="shared" si="29"/>
        <v>0.87472035794183445</v>
      </c>
      <c r="AV11" s="64">
        <v>0</v>
      </c>
      <c r="AW11" s="111"/>
      <c r="AX11" s="12">
        <v>0</v>
      </c>
      <c r="AY11" s="65">
        <f>AX11+0</f>
        <v>0</v>
      </c>
      <c r="AZ11" s="63"/>
      <c r="BA11" s="64">
        <v>675</v>
      </c>
      <c r="BB11" s="7">
        <v>65</v>
      </c>
      <c r="BC11" s="12">
        <v>102</v>
      </c>
      <c r="BD11" s="65">
        <f>BC11+22</f>
        <v>124</v>
      </c>
      <c r="BE11" s="63">
        <f t="shared" si="17"/>
        <v>1.9076923076923078</v>
      </c>
      <c r="BF11" s="64"/>
      <c r="BG11" s="9">
        <v>0</v>
      </c>
      <c r="BH11" s="34">
        <v>0</v>
      </c>
      <c r="BI11" s="65">
        <f>BH11+0</f>
        <v>0</v>
      </c>
      <c r="BJ11" s="63"/>
      <c r="BK11" s="145">
        <f t="shared" si="3"/>
        <v>1764</v>
      </c>
      <c r="BL11" s="131">
        <f t="shared" si="4"/>
        <v>2913</v>
      </c>
      <c r="BM11" s="146">
        <f t="shared" si="5"/>
        <v>2061</v>
      </c>
      <c r="BN11" s="148">
        <f t="shared" si="31"/>
        <v>3044</v>
      </c>
      <c r="BO11" s="133">
        <f t="shared" si="19"/>
        <v>1.0449708204600068</v>
      </c>
      <c r="BP11" s="64"/>
      <c r="BQ11" s="9">
        <v>67</v>
      </c>
      <c r="BR11" s="34">
        <v>18</v>
      </c>
      <c r="BS11" s="66">
        <f>BR11+452</f>
        <v>470</v>
      </c>
      <c r="BT11" s="63">
        <f t="shared" si="20"/>
        <v>7.0149253731343286</v>
      </c>
      <c r="BU11" s="64">
        <v>0</v>
      </c>
      <c r="BV11" s="9">
        <v>7</v>
      </c>
      <c r="BW11" s="34">
        <v>0</v>
      </c>
      <c r="BX11" s="65">
        <f>BW11+0</f>
        <v>0</v>
      </c>
      <c r="BY11" s="63">
        <f t="shared" si="21"/>
        <v>0</v>
      </c>
      <c r="BZ11" s="145">
        <f t="shared" si="6"/>
        <v>0</v>
      </c>
      <c r="CA11" s="131">
        <f t="shared" si="7"/>
        <v>74</v>
      </c>
      <c r="CB11" s="131">
        <f t="shared" si="8"/>
        <v>18</v>
      </c>
      <c r="CC11" s="132">
        <f t="shared" si="32"/>
        <v>470</v>
      </c>
      <c r="CD11" s="133">
        <f t="shared" si="22"/>
        <v>6.3513513513513518</v>
      </c>
      <c r="CE11" s="64">
        <v>0</v>
      </c>
      <c r="CF11" s="7">
        <v>63</v>
      </c>
      <c r="CG11" s="12">
        <v>60</v>
      </c>
      <c r="CH11" s="65">
        <f>CG11+29</f>
        <v>89</v>
      </c>
      <c r="CI11" s="63">
        <f t="shared" si="23"/>
        <v>1.4126984126984128</v>
      </c>
      <c r="CJ11" s="156">
        <f t="shared" si="9"/>
        <v>7985</v>
      </c>
      <c r="CK11" s="156">
        <f t="shared" si="10"/>
        <v>8566</v>
      </c>
      <c r="CL11" s="157">
        <f t="shared" si="11"/>
        <v>3316</v>
      </c>
      <c r="CM11" s="158">
        <f t="shared" si="12"/>
        <v>7584</v>
      </c>
      <c r="CN11" s="133">
        <f t="shared" si="24"/>
        <v>0.88536072846135883</v>
      </c>
    </row>
    <row r="12" spans="1:92" ht="15.75" x14ac:dyDescent="0.25">
      <c r="A12" s="3" t="s">
        <v>16</v>
      </c>
      <c r="B12" s="5" t="s">
        <v>17</v>
      </c>
      <c r="C12" s="62"/>
      <c r="D12" s="8"/>
      <c r="E12" s="12"/>
      <c r="F12" s="66"/>
      <c r="G12" s="63"/>
      <c r="H12" s="64"/>
      <c r="I12" s="7"/>
      <c r="J12" s="12"/>
      <c r="K12" s="66"/>
      <c r="L12" s="63"/>
      <c r="M12" s="64"/>
      <c r="N12" s="9"/>
      <c r="O12" s="34"/>
      <c r="P12" s="66"/>
      <c r="Q12" s="63"/>
      <c r="R12" s="64"/>
      <c r="S12" s="7"/>
      <c r="T12" s="12"/>
      <c r="U12" s="104"/>
      <c r="V12" s="63"/>
      <c r="W12" s="129">
        <f t="shared" si="0"/>
        <v>0</v>
      </c>
      <c r="X12" s="130">
        <f t="shared" si="1"/>
        <v>0</v>
      </c>
      <c r="Y12" s="131">
        <f t="shared" si="2"/>
        <v>0</v>
      </c>
      <c r="Z12" s="134"/>
      <c r="AA12" s="133"/>
      <c r="AB12" s="64"/>
      <c r="AC12" s="7"/>
      <c r="AD12" s="12"/>
      <c r="AE12" s="66"/>
      <c r="AF12" s="63"/>
      <c r="AG12" s="64"/>
      <c r="AH12" s="7"/>
      <c r="AI12" s="12"/>
      <c r="AJ12" s="59"/>
      <c r="AK12" s="63"/>
      <c r="AL12" s="64"/>
      <c r="AM12" s="7"/>
      <c r="AN12" s="12"/>
      <c r="AO12" s="59"/>
      <c r="AP12" s="63"/>
      <c r="AQ12" s="64"/>
      <c r="AR12" s="7"/>
      <c r="AS12" s="12"/>
      <c r="AT12" s="59"/>
      <c r="AU12" s="63"/>
      <c r="AV12" s="64"/>
      <c r="AW12" s="7">
        <v>0</v>
      </c>
      <c r="AX12" s="12"/>
      <c r="AY12" s="59"/>
      <c r="AZ12" s="63"/>
      <c r="BA12" s="64"/>
      <c r="BB12" s="7"/>
      <c r="BC12" s="12"/>
      <c r="BD12" s="59"/>
      <c r="BE12" s="63"/>
      <c r="BF12" s="64"/>
      <c r="BG12" s="9"/>
      <c r="BH12" s="34"/>
      <c r="BI12" s="59"/>
      <c r="BJ12" s="63"/>
      <c r="BK12" s="145">
        <f t="shared" si="3"/>
        <v>0</v>
      </c>
      <c r="BL12" s="131">
        <f t="shared" si="4"/>
        <v>0</v>
      </c>
      <c r="BM12" s="146">
        <f t="shared" si="5"/>
        <v>0</v>
      </c>
      <c r="BN12" s="147"/>
      <c r="BO12" s="133"/>
      <c r="BP12" s="64"/>
      <c r="BQ12" s="9"/>
      <c r="BR12" s="34"/>
      <c r="BS12" s="66"/>
      <c r="BT12" s="63"/>
      <c r="BU12" s="64"/>
      <c r="BV12" s="9"/>
      <c r="BW12" s="34"/>
      <c r="BX12" s="59"/>
      <c r="BY12" s="63"/>
      <c r="BZ12" s="145">
        <f t="shared" si="6"/>
        <v>0</v>
      </c>
      <c r="CA12" s="131">
        <f t="shared" si="7"/>
        <v>0</v>
      </c>
      <c r="CB12" s="131">
        <f t="shared" si="8"/>
        <v>0</v>
      </c>
      <c r="CC12" s="134"/>
      <c r="CD12" s="133"/>
      <c r="CE12" s="64">
        <v>0</v>
      </c>
      <c r="CF12" s="7"/>
      <c r="CG12" s="12">
        <v>0</v>
      </c>
      <c r="CH12" s="59"/>
      <c r="CI12" s="63"/>
      <c r="CJ12" s="156">
        <f t="shared" si="9"/>
        <v>0</v>
      </c>
      <c r="CK12" s="156">
        <f t="shared" si="10"/>
        <v>0</v>
      </c>
      <c r="CL12" s="157">
        <f t="shared" si="11"/>
        <v>0</v>
      </c>
      <c r="CM12" s="158">
        <f t="shared" si="12"/>
        <v>0</v>
      </c>
      <c r="CN12" s="133"/>
    </row>
    <row r="13" spans="1:92" ht="15.75" x14ac:dyDescent="0.25">
      <c r="A13" s="3" t="s">
        <v>18</v>
      </c>
      <c r="B13" s="17" t="s">
        <v>19</v>
      </c>
      <c r="C13" s="62">
        <f t="shared" ref="C13" si="34">SUM(C8:C12)</f>
        <v>130298</v>
      </c>
      <c r="D13" s="8">
        <f>SUM(D8:D11)</f>
        <v>126267</v>
      </c>
      <c r="E13" s="12">
        <f t="shared" ref="E13" si="35">SUM(E8:E12)</f>
        <v>50947</v>
      </c>
      <c r="F13" s="66">
        <f>SUM(F8:F12)</f>
        <v>117638</v>
      </c>
      <c r="G13" s="63">
        <f t="shared" si="13"/>
        <v>0.93166068727379281</v>
      </c>
      <c r="H13" s="64">
        <f t="shared" ref="H13" si="36">SUM(H8:H12)</f>
        <v>20447</v>
      </c>
      <c r="I13" s="7">
        <f>SUM(I8:I11)</f>
        <v>19911</v>
      </c>
      <c r="J13" s="12">
        <f t="shared" ref="J13" si="37">SUM(J8:J12)</f>
        <v>8221</v>
      </c>
      <c r="K13" s="66">
        <f>SUM(K8:K12)</f>
        <v>17228</v>
      </c>
      <c r="L13" s="63">
        <f t="shared" si="25"/>
        <v>0.86525036412033551</v>
      </c>
      <c r="M13" s="64">
        <f>SUM(M8:M12)</f>
        <v>10514</v>
      </c>
      <c r="N13" s="9">
        <f t="shared" ref="N13" si="38">SUM(N8:N12)</f>
        <v>10107</v>
      </c>
      <c r="O13" s="34">
        <f>SUM(O8:O12)</f>
        <v>4220</v>
      </c>
      <c r="P13" s="66">
        <f>SUM(P8:P12)</f>
        <v>7592</v>
      </c>
      <c r="Q13" s="63">
        <f t="shared" si="14"/>
        <v>0.75116256060156328</v>
      </c>
      <c r="R13" s="64">
        <f>SUM(R8:R12)</f>
        <v>14208</v>
      </c>
      <c r="S13" s="7">
        <f>SUM(S8:S12)</f>
        <v>14957</v>
      </c>
      <c r="T13" s="12">
        <f>SUM(T8:T12)</f>
        <v>4859</v>
      </c>
      <c r="U13" s="103">
        <f>SUM(U8:U12)</f>
        <v>13406</v>
      </c>
      <c r="V13" s="63">
        <f t="shared" si="15"/>
        <v>0.89630273450558262</v>
      </c>
      <c r="W13" s="129">
        <f t="shared" si="0"/>
        <v>175467</v>
      </c>
      <c r="X13" s="130">
        <f t="shared" si="1"/>
        <v>171242</v>
      </c>
      <c r="Y13" s="131">
        <f t="shared" si="2"/>
        <v>68247</v>
      </c>
      <c r="Z13" s="132">
        <f>SUM(Z8:Z12)</f>
        <v>155864</v>
      </c>
      <c r="AA13" s="133">
        <f t="shared" si="16"/>
        <v>0.91019726468973738</v>
      </c>
      <c r="AB13" s="64">
        <f t="shared" ref="AB13" si="39">SUM(AB8:AB12)</f>
        <v>8519</v>
      </c>
      <c r="AC13" s="7">
        <f t="shared" ref="AC13" si="40">SUM(AC8:AC12)</f>
        <v>8474</v>
      </c>
      <c r="AD13" s="12">
        <f t="shared" ref="AD13" si="41">SUM(AD8:AD12)</f>
        <v>4034</v>
      </c>
      <c r="AE13" s="66">
        <f>SUM(AE8:AE12)</f>
        <v>7519</v>
      </c>
      <c r="AF13" s="63">
        <f t="shared" si="26"/>
        <v>0.88730233655888602</v>
      </c>
      <c r="AG13" s="64">
        <f t="shared" ref="AG13:AI13" si="42">SUM(AG8:AG12)</f>
        <v>1400</v>
      </c>
      <c r="AH13" s="7">
        <f t="shared" si="42"/>
        <v>5204</v>
      </c>
      <c r="AI13" s="12">
        <f t="shared" si="42"/>
        <v>852</v>
      </c>
      <c r="AJ13" s="59">
        <f>SUM(AJ8:AJ12)</f>
        <v>1529</v>
      </c>
      <c r="AK13" s="63">
        <f t="shared" si="27"/>
        <v>0.29381245196003075</v>
      </c>
      <c r="AL13" s="64">
        <f t="shared" ref="AL13:AN13" si="43">SUM(AL8:AL12)</f>
        <v>5795</v>
      </c>
      <c r="AM13" s="7">
        <f t="shared" si="43"/>
        <v>6397</v>
      </c>
      <c r="AN13" s="12">
        <f t="shared" si="43"/>
        <v>4548</v>
      </c>
      <c r="AO13" s="59">
        <f>SUM(AO8:AO12)</f>
        <v>7321</v>
      </c>
      <c r="AP13" s="63">
        <f t="shared" si="28"/>
        <v>1.1444427075191497</v>
      </c>
      <c r="AQ13" s="64">
        <f>SUM(AQ8:AQ12)</f>
        <v>3647</v>
      </c>
      <c r="AR13" s="7">
        <f t="shared" ref="AR13" si="44">SUM(AR8:AR12)</f>
        <v>1461</v>
      </c>
      <c r="AS13" s="12">
        <f>SUM(AS8:AS12)</f>
        <v>680</v>
      </c>
      <c r="AT13" s="59">
        <f>SUM(AT8:AT12)</f>
        <v>1336</v>
      </c>
      <c r="AU13" s="63">
        <f t="shared" si="29"/>
        <v>0.91444216290212188</v>
      </c>
      <c r="AV13" s="64">
        <f t="shared" ref="AV13" si="45">SUM(AV8:AV12)</f>
        <v>34351</v>
      </c>
      <c r="AW13" s="7">
        <f>SUM(AW8:AW12)</f>
        <v>31235</v>
      </c>
      <c r="AX13" s="12">
        <f>SUM(AX8:AX12)</f>
        <v>21867</v>
      </c>
      <c r="AY13" s="59">
        <f>SUM(AY8:AY12)</f>
        <v>35828</v>
      </c>
      <c r="AZ13" s="63">
        <f t="shared" si="30"/>
        <v>1.1470465823595326</v>
      </c>
      <c r="BA13" s="64">
        <f t="shared" ref="BA13:BC13" si="46">SUM(BA8:BA12)</f>
        <v>6915</v>
      </c>
      <c r="BB13" s="7">
        <f t="shared" si="46"/>
        <v>5561</v>
      </c>
      <c r="BC13" s="12">
        <f t="shared" si="46"/>
        <v>5985</v>
      </c>
      <c r="BD13" s="59">
        <f>SUM(BD8:BD12)</f>
        <v>10271</v>
      </c>
      <c r="BE13" s="63">
        <f t="shared" si="17"/>
        <v>1.8469699694299586</v>
      </c>
      <c r="BF13" s="64">
        <f t="shared" ref="BF13:BH13" si="47">SUM(BF8:BF12)</f>
        <v>10940</v>
      </c>
      <c r="BG13" s="11">
        <f t="shared" si="47"/>
        <v>11055</v>
      </c>
      <c r="BH13" s="12">
        <f t="shared" si="47"/>
        <v>4844</v>
      </c>
      <c r="BI13" s="59">
        <f>SUM(BI8:BI12)</f>
        <v>8887</v>
      </c>
      <c r="BJ13" s="63">
        <f t="shared" si="18"/>
        <v>0.8038896426956128</v>
      </c>
      <c r="BK13" s="145">
        <f t="shared" si="3"/>
        <v>71567</v>
      </c>
      <c r="BL13" s="131">
        <f t="shared" si="4"/>
        <v>69387</v>
      </c>
      <c r="BM13" s="146">
        <f t="shared" si="5"/>
        <v>42810</v>
      </c>
      <c r="BN13" s="148">
        <f>SUM(BN8:BN12)</f>
        <v>72691</v>
      </c>
      <c r="BO13" s="133">
        <f t="shared" si="19"/>
        <v>1.047616988773113</v>
      </c>
      <c r="BP13" s="64">
        <f t="shared" ref="BP13" si="48">SUM(BP8:BP12)</f>
        <v>69002</v>
      </c>
      <c r="BQ13" s="9">
        <f t="shared" ref="BQ13:BR13" si="49">SUM(BQ8:BQ12)</f>
        <v>77408</v>
      </c>
      <c r="BR13" s="34">
        <f t="shared" si="49"/>
        <v>13880</v>
      </c>
      <c r="BS13" s="66">
        <f>SUM(BS8:BS12)</f>
        <v>43767</v>
      </c>
      <c r="BT13" s="63">
        <f t="shared" si="20"/>
        <v>0.56540667631252584</v>
      </c>
      <c r="BU13" s="64">
        <f t="shared" ref="BU13:BW13" si="50">SUM(BU8:BU12)</f>
        <v>10910</v>
      </c>
      <c r="BV13" s="9">
        <f t="shared" si="50"/>
        <v>10849</v>
      </c>
      <c r="BW13" s="34">
        <f t="shared" si="50"/>
        <v>5978</v>
      </c>
      <c r="BX13" s="66">
        <f>SUM(BX8:BX12)</f>
        <v>11809</v>
      </c>
      <c r="BY13" s="63">
        <f t="shared" si="21"/>
        <v>1.0884874181952253</v>
      </c>
      <c r="BZ13" s="145">
        <f t="shared" si="6"/>
        <v>79912</v>
      </c>
      <c r="CA13" s="131">
        <f t="shared" si="7"/>
        <v>88257</v>
      </c>
      <c r="CB13" s="131">
        <f t="shared" si="8"/>
        <v>19858</v>
      </c>
      <c r="CC13" s="132">
        <f>SUM(CC8:CC12)</f>
        <v>55576</v>
      </c>
      <c r="CD13" s="133">
        <f t="shared" si="22"/>
        <v>0.62970642555264733</v>
      </c>
      <c r="CE13" s="64">
        <v>5149</v>
      </c>
      <c r="CF13" s="7">
        <f t="shared" ref="CF13" si="51">SUM(CF8:CF12)</f>
        <v>6157</v>
      </c>
      <c r="CG13" s="12">
        <f>SUM(CG8:CG12)</f>
        <v>3659</v>
      </c>
      <c r="CH13" s="59">
        <f>SUM(CH8:CH12)</f>
        <v>6480</v>
      </c>
      <c r="CI13" s="63">
        <f t="shared" si="23"/>
        <v>1.0524606139353581</v>
      </c>
      <c r="CJ13" s="156">
        <f t="shared" si="9"/>
        <v>332095</v>
      </c>
      <c r="CK13" s="156">
        <f t="shared" si="10"/>
        <v>335043</v>
      </c>
      <c r="CL13" s="157">
        <f t="shared" si="11"/>
        <v>134574</v>
      </c>
      <c r="CM13" s="158">
        <f t="shared" si="12"/>
        <v>290611</v>
      </c>
      <c r="CN13" s="133">
        <f t="shared" si="24"/>
        <v>0.86738418650740357</v>
      </c>
    </row>
    <row r="14" spans="1:92" ht="15.75" x14ac:dyDescent="0.25">
      <c r="A14" s="3" t="s">
        <v>20</v>
      </c>
      <c r="B14" s="5" t="s">
        <v>21</v>
      </c>
      <c r="C14" s="62">
        <v>73729</v>
      </c>
      <c r="D14" s="8">
        <v>85489</v>
      </c>
      <c r="E14" s="12">
        <v>42971</v>
      </c>
      <c r="F14" s="66">
        <v>79069.842999999993</v>
      </c>
      <c r="G14" s="63">
        <f t="shared" si="13"/>
        <v>0.92491247996818293</v>
      </c>
      <c r="H14" s="64">
        <v>13655</v>
      </c>
      <c r="I14" s="7">
        <v>17120</v>
      </c>
      <c r="J14" s="12">
        <v>7138</v>
      </c>
      <c r="K14" s="66">
        <v>15609.717000000001</v>
      </c>
      <c r="L14" s="63">
        <f t="shared" si="25"/>
        <v>0.91178253504672901</v>
      </c>
      <c r="M14" s="64">
        <v>9664</v>
      </c>
      <c r="N14" s="9">
        <v>11208</v>
      </c>
      <c r="O14" s="34">
        <v>5510</v>
      </c>
      <c r="P14" s="66">
        <v>12104.013999999999</v>
      </c>
      <c r="Q14" s="63">
        <f t="shared" si="14"/>
        <v>1.0799441470378301</v>
      </c>
      <c r="R14" s="64">
        <v>0</v>
      </c>
      <c r="S14" s="7">
        <v>0</v>
      </c>
      <c r="T14" s="12">
        <v>0</v>
      </c>
      <c r="U14" s="104"/>
      <c r="V14" s="63"/>
      <c r="W14" s="129">
        <f t="shared" si="0"/>
        <v>97048</v>
      </c>
      <c r="X14" s="130">
        <f t="shared" si="1"/>
        <v>113817</v>
      </c>
      <c r="Y14" s="131">
        <f t="shared" si="2"/>
        <v>55619</v>
      </c>
      <c r="Z14" s="132">
        <f t="shared" ref="Z14:Z16" si="52">F14+K14+P14+U14</f>
        <v>106783.57399999999</v>
      </c>
      <c r="AA14" s="133">
        <f t="shared" si="16"/>
        <v>0.93820408199126659</v>
      </c>
      <c r="AB14" s="64">
        <v>2189</v>
      </c>
      <c r="AC14" s="7">
        <v>2276</v>
      </c>
      <c r="AD14" s="12">
        <v>1018</v>
      </c>
      <c r="AE14" s="115">
        <v>4389.7079999999996</v>
      </c>
      <c r="AF14" s="63">
        <f t="shared" si="26"/>
        <v>1.9286942003514937</v>
      </c>
      <c r="AG14" s="64">
        <v>2188</v>
      </c>
      <c r="AH14" s="7">
        <v>2275</v>
      </c>
      <c r="AI14" s="12">
        <v>1017</v>
      </c>
      <c r="AJ14" s="66">
        <v>9466.7420000000002</v>
      </c>
      <c r="AK14" s="63">
        <f t="shared" si="27"/>
        <v>4.1612052747252752</v>
      </c>
      <c r="AL14" s="64">
        <v>5623</v>
      </c>
      <c r="AM14" s="7">
        <v>7752</v>
      </c>
      <c r="AN14" s="12">
        <v>2530</v>
      </c>
      <c r="AO14" s="112">
        <v>5794.0889999999999</v>
      </c>
      <c r="AP14" s="63">
        <f t="shared" si="28"/>
        <v>0.74743150154798765</v>
      </c>
      <c r="AQ14" s="64">
        <v>1582</v>
      </c>
      <c r="AR14" s="7">
        <v>1659</v>
      </c>
      <c r="AS14" s="12">
        <v>784</v>
      </c>
      <c r="AT14" s="66">
        <v>1593.1859999999999</v>
      </c>
      <c r="AU14" s="63">
        <f t="shared" si="29"/>
        <v>0.96032911392405063</v>
      </c>
      <c r="AV14" s="64">
        <v>8378</v>
      </c>
      <c r="AW14" s="7">
        <v>5785</v>
      </c>
      <c r="AX14" s="12">
        <v>2919</v>
      </c>
      <c r="AY14" s="66">
        <v>5822.7719999999999</v>
      </c>
      <c r="AZ14" s="63">
        <f t="shared" si="30"/>
        <v>1.0065292999135695</v>
      </c>
      <c r="BA14" s="64">
        <v>35597</v>
      </c>
      <c r="BB14" s="7">
        <f>43631-2000</f>
        <v>41631</v>
      </c>
      <c r="BC14" s="12">
        <v>20824</v>
      </c>
      <c r="BD14" s="66">
        <v>44431.156999999999</v>
      </c>
      <c r="BE14" s="63">
        <f t="shared" si="17"/>
        <v>1.0672613437102159</v>
      </c>
      <c r="BF14" s="64">
        <v>0</v>
      </c>
      <c r="BG14" s="9">
        <v>0</v>
      </c>
      <c r="BH14" s="34">
        <v>0</v>
      </c>
      <c r="BI14" s="59">
        <v>0</v>
      </c>
      <c r="BJ14" s="63" t="e">
        <f t="shared" si="18"/>
        <v>#DIV/0!</v>
      </c>
      <c r="BK14" s="145">
        <f t="shared" si="3"/>
        <v>55557</v>
      </c>
      <c r="BL14" s="131">
        <f t="shared" si="4"/>
        <v>61378</v>
      </c>
      <c r="BM14" s="146">
        <f t="shared" si="5"/>
        <v>29092</v>
      </c>
      <c r="BN14" s="148">
        <f t="shared" ref="BN14:BN16" si="53">AE14+AJ14+AO14+AT14+AY14+BD14+BI14</f>
        <v>71497.65400000001</v>
      </c>
      <c r="BO14" s="133">
        <f t="shared" si="19"/>
        <v>1.1648742872038842</v>
      </c>
      <c r="BP14" s="64">
        <v>26150</v>
      </c>
      <c r="BQ14" s="9">
        <f>35252+2000</f>
        <v>37252</v>
      </c>
      <c r="BR14" s="34">
        <v>14073</v>
      </c>
      <c r="BS14" s="66">
        <v>31526.135999999999</v>
      </c>
      <c r="BT14" s="63">
        <f t="shared" si="20"/>
        <v>0.84629378288414037</v>
      </c>
      <c r="BU14" s="64">
        <v>18389</v>
      </c>
      <c r="BV14" s="9">
        <v>22056</v>
      </c>
      <c r="BW14" s="34">
        <v>10926</v>
      </c>
      <c r="BX14" s="66">
        <v>23565.453000000001</v>
      </c>
      <c r="BY14" s="63">
        <f t="shared" si="21"/>
        <v>1.0684372959738848</v>
      </c>
      <c r="BZ14" s="145">
        <f t="shared" si="6"/>
        <v>44539</v>
      </c>
      <c r="CA14" s="131">
        <f t="shared" si="7"/>
        <v>59308</v>
      </c>
      <c r="CB14" s="131">
        <f t="shared" si="8"/>
        <v>24999</v>
      </c>
      <c r="CC14" s="132">
        <f t="shared" ref="CC14:CC16" si="54">BS14+BX14</f>
        <v>55091.589</v>
      </c>
      <c r="CD14" s="133">
        <f t="shared" si="22"/>
        <v>0.92890653874688067</v>
      </c>
      <c r="CE14" s="64">
        <v>18850</v>
      </c>
      <c r="CF14" s="7">
        <v>21611</v>
      </c>
      <c r="CG14" s="12">
        <v>9208</v>
      </c>
      <c r="CH14" s="66">
        <v>23370.350999999999</v>
      </c>
      <c r="CI14" s="63">
        <f t="shared" si="23"/>
        <v>1.0814099764009069</v>
      </c>
      <c r="CJ14" s="156">
        <f t="shared" si="9"/>
        <v>215994</v>
      </c>
      <c r="CK14" s="156">
        <f t="shared" si="10"/>
        <v>256114</v>
      </c>
      <c r="CL14" s="157">
        <f t="shared" si="11"/>
        <v>118918</v>
      </c>
      <c r="CM14" s="158">
        <f t="shared" si="12"/>
        <v>256743.16800000001</v>
      </c>
      <c r="CN14" s="133">
        <f t="shared" si="24"/>
        <v>1.0024565935481855</v>
      </c>
    </row>
    <row r="15" spans="1:92" ht="15.75" x14ac:dyDescent="0.25">
      <c r="A15" s="3" t="s">
        <v>22</v>
      </c>
      <c r="B15" s="5" t="s">
        <v>23</v>
      </c>
      <c r="C15" s="62">
        <v>6707</v>
      </c>
      <c r="D15" s="8">
        <v>6181</v>
      </c>
      <c r="E15" s="12">
        <v>1605</v>
      </c>
      <c r="F15" s="66"/>
      <c r="G15" s="63">
        <f t="shared" si="13"/>
        <v>0</v>
      </c>
      <c r="H15" s="64">
        <v>1008</v>
      </c>
      <c r="I15" s="7">
        <v>951</v>
      </c>
      <c r="J15" s="12">
        <v>447</v>
      </c>
      <c r="K15" s="66"/>
      <c r="L15" s="63">
        <f t="shared" si="25"/>
        <v>0</v>
      </c>
      <c r="M15" s="64">
        <v>763</v>
      </c>
      <c r="N15" s="9">
        <v>525</v>
      </c>
      <c r="O15" s="34">
        <v>153</v>
      </c>
      <c r="P15" s="66"/>
      <c r="Q15" s="63">
        <f t="shared" si="14"/>
        <v>0</v>
      </c>
      <c r="R15" s="64">
        <v>0</v>
      </c>
      <c r="S15" s="7">
        <v>0</v>
      </c>
      <c r="T15" s="12">
        <v>0</v>
      </c>
      <c r="U15" s="104"/>
      <c r="V15" s="63"/>
      <c r="W15" s="129">
        <f t="shared" si="0"/>
        <v>8478</v>
      </c>
      <c r="X15" s="130">
        <f t="shared" si="1"/>
        <v>7657</v>
      </c>
      <c r="Y15" s="131">
        <f t="shared" si="2"/>
        <v>2205</v>
      </c>
      <c r="Z15" s="132">
        <f t="shared" si="52"/>
        <v>0</v>
      </c>
      <c r="AA15" s="133">
        <f t="shared" si="16"/>
        <v>0</v>
      </c>
      <c r="AB15" s="64">
        <v>146</v>
      </c>
      <c r="AC15" s="7">
        <v>146</v>
      </c>
      <c r="AD15" s="12">
        <v>28</v>
      </c>
      <c r="AE15" s="66"/>
      <c r="AF15" s="63">
        <f t="shared" si="26"/>
        <v>0</v>
      </c>
      <c r="AG15" s="64">
        <v>145</v>
      </c>
      <c r="AH15" s="7">
        <v>145</v>
      </c>
      <c r="AI15" s="12">
        <v>27</v>
      </c>
      <c r="AJ15" s="66"/>
      <c r="AK15" s="63">
        <f t="shared" si="27"/>
        <v>0</v>
      </c>
      <c r="AL15" s="64">
        <v>553</v>
      </c>
      <c r="AM15" s="7">
        <v>681</v>
      </c>
      <c r="AN15" s="12">
        <v>116</v>
      </c>
      <c r="AO15" s="59"/>
      <c r="AP15" s="63">
        <f t="shared" si="28"/>
        <v>0</v>
      </c>
      <c r="AQ15" s="64">
        <v>138</v>
      </c>
      <c r="AR15" s="7">
        <v>100</v>
      </c>
      <c r="AS15" s="12">
        <v>28</v>
      </c>
      <c r="AT15" s="59"/>
      <c r="AU15" s="63">
        <f t="shared" si="29"/>
        <v>0</v>
      </c>
      <c r="AV15" s="64">
        <v>466</v>
      </c>
      <c r="AW15" s="7">
        <v>218</v>
      </c>
      <c r="AX15" s="12">
        <v>52</v>
      </c>
      <c r="AY15" s="66"/>
      <c r="AZ15" s="63">
        <f t="shared" si="30"/>
        <v>0</v>
      </c>
      <c r="BA15" s="64">
        <v>1476</v>
      </c>
      <c r="BB15" s="7">
        <v>2561</v>
      </c>
      <c r="BC15" s="12">
        <v>660</v>
      </c>
      <c r="BD15" s="66"/>
      <c r="BE15" s="63">
        <f t="shared" si="17"/>
        <v>0</v>
      </c>
      <c r="BF15" s="64">
        <v>0</v>
      </c>
      <c r="BG15" s="9">
        <v>0</v>
      </c>
      <c r="BH15" s="34">
        <v>0</v>
      </c>
      <c r="BI15" s="59">
        <v>0</v>
      </c>
      <c r="BJ15" s="63" t="e">
        <f t="shared" si="18"/>
        <v>#DIV/0!</v>
      </c>
      <c r="BK15" s="145">
        <f t="shared" si="3"/>
        <v>2924</v>
      </c>
      <c r="BL15" s="131">
        <f t="shared" si="4"/>
        <v>3851</v>
      </c>
      <c r="BM15" s="146">
        <f t="shared" si="5"/>
        <v>911</v>
      </c>
      <c r="BN15" s="148">
        <f t="shared" si="53"/>
        <v>0</v>
      </c>
      <c r="BO15" s="133">
        <f t="shared" si="19"/>
        <v>0</v>
      </c>
      <c r="BP15" s="64">
        <v>2090</v>
      </c>
      <c r="BQ15" s="9">
        <v>2023</v>
      </c>
      <c r="BR15" s="34">
        <v>616</v>
      </c>
      <c r="BS15" s="66"/>
      <c r="BT15" s="63">
        <f t="shared" si="20"/>
        <v>0</v>
      </c>
      <c r="BU15" s="64">
        <v>1368</v>
      </c>
      <c r="BV15" s="9">
        <v>1687</v>
      </c>
      <c r="BW15" s="34">
        <v>635</v>
      </c>
      <c r="BX15" s="66"/>
      <c r="BY15" s="63">
        <f t="shared" si="21"/>
        <v>0</v>
      </c>
      <c r="BZ15" s="145">
        <f t="shared" si="6"/>
        <v>3458</v>
      </c>
      <c r="CA15" s="131">
        <f t="shared" si="7"/>
        <v>3710</v>
      </c>
      <c r="CB15" s="131">
        <f t="shared" si="8"/>
        <v>1251</v>
      </c>
      <c r="CC15" s="132">
        <f t="shared" si="54"/>
        <v>0</v>
      </c>
      <c r="CD15" s="133">
        <f t="shared" si="22"/>
        <v>0</v>
      </c>
      <c r="CE15" s="64">
        <v>1026</v>
      </c>
      <c r="CF15" s="7">
        <f>1711-525</f>
        <v>1186</v>
      </c>
      <c r="CG15" s="12">
        <v>585</v>
      </c>
      <c r="CH15" s="66"/>
      <c r="CI15" s="63">
        <f t="shared" si="23"/>
        <v>0</v>
      </c>
      <c r="CJ15" s="156">
        <f t="shared" si="9"/>
        <v>15886</v>
      </c>
      <c r="CK15" s="156">
        <f t="shared" si="10"/>
        <v>16404</v>
      </c>
      <c r="CL15" s="157">
        <f t="shared" si="11"/>
        <v>4952</v>
      </c>
      <c r="CM15" s="158">
        <f t="shared" si="12"/>
        <v>0</v>
      </c>
      <c r="CN15" s="133">
        <f t="shared" si="24"/>
        <v>0</v>
      </c>
    </row>
    <row r="16" spans="1:92" ht="15.75" x14ac:dyDescent="0.25">
      <c r="A16" s="3" t="s">
        <v>24</v>
      </c>
      <c r="B16" s="5" t="s">
        <v>25</v>
      </c>
      <c r="C16" s="62">
        <v>13414</v>
      </c>
      <c r="D16" s="8">
        <v>15895</v>
      </c>
      <c r="E16" s="12">
        <v>2806</v>
      </c>
      <c r="F16" s="66">
        <v>9516.7170000000006</v>
      </c>
      <c r="G16" s="63">
        <f t="shared" si="13"/>
        <v>0.59872393834539162</v>
      </c>
      <c r="H16" s="64">
        <v>2705</v>
      </c>
      <c r="I16" s="7">
        <v>3139</v>
      </c>
      <c r="J16" s="12">
        <v>496</v>
      </c>
      <c r="K16" s="66">
        <v>1892.3810000000001</v>
      </c>
      <c r="L16" s="63">
        <f t="shared" si="25"/>
        <v>0.60286110226186684</v>
      </c>
      <c r="M16" s="64">
        <v>2018</v>
      </c>
      <c r="N16" s="9">
        <v>1770</v>
      </c>
      <c r="O16" s="34">
        <v>370</v>
      </c>
      <c r="P16" s="66">
        <v>1488.5540000000001</v>
      </c>
      <c r="Q16" s="63">
        <f t="shared" si="14"/>
        <v>0.84099096045197741</v>
      </c>
      <c r="R16" s="64">
        <v>0</v>
      </c>
      <c r="S16" s="7">
        <v>0</v>
      </c>
      <c r="T16" s="12">
        <v>0</v>
      </c>
      <c r="U16" s="104"/>
      <c r="V16" s="63"/>
      <c r="W16" s="129">
        <f t="shared" si="0"/>
        <v>18137</v>
      </c>
      <c r="X16" s="130">
        <f t="shared" si="1"/>
        <v>20804</v>
      </c>
      <c r="Y16" s="131">
        <f t="shared" si="2"/>
        <v>3672</v>
      </c>
      <c r="Z16" s="132">
        <f t="shared" si="52"/>
        <v>12897.652</v>
      </c>
      <c r="AA16" s="133">
        <f t="shared" si="16"/>
        <v>0.61996019996154583</v>
      </c>
      <c r="AB16" s="64">
        <v>359</v>
      </c>
      <c r="AC16" s="7">
        <v>312</v>
      </c>
      <c r="AD16" s="12">
        <v>52</v>
      </c>
      <c r="AE16" s="66">
        <v>501.91800000000001</v>
      </c>
      <c r="AF16" s="63">
        <f t="shared" si="26"/>
        <v>1.6087115384615385</v>
      </c>
      <c r="AG16" s="64">
        <v>359</v>
      </c>
      <c r="AH16" s="7">
        <v>312</v>
      </c>
      <c r="AI16" s="12">
        <v>51</v>
      </c>
      <c r="AJ16" s="66">
        <v>1208</v>
      </c>
      <c r="AK16" s="63">
        <f t="shared" si="27"/>
        <v>3.8717948717948718</v>
      </c>
      <c r="AL16" s="64">
        <v>908</v>
      </c>
      <c r="AM16" s="7">
        <v>551</v>
      </c>
      <c r="AN16" s="12">
        <v>99</v>
      </c>
      <c r="AO16" s="66">
        <v>595.08399999999995</v>
      </c>
      <c r="AP16" s="63">
        <f t="shared" si="28"/>
        <v>1.0800072595281305</v>
      </c>
      <c r="AQ16" s="64">
        <v>266</v>
      </c>
      <c r="AR16" s="7">
        <v>0</v>
      </c>
      <c r="AS16" s="12">
        <v>4</v>
      </c>
      <c r="AT16" s="66">
        <v>141.33500000000001</v>
      </c>
      <c r="AU16" s="63"/>
      <c r="AV16" s="64">
        <v>1434</v>
      </c>
      <c r="AW16" s="7">
        <v>661</v>
      </c>
      <c r="AX16" s="12">
        <v>109</v>
      </c>
      <c r="AY16" s="66">
        <v>598.18000000000006</v>
      </c>
      <c r="AZ16" s="63">
        <f t="shared" si="30"/>
        <v>0.90496217851739802</v>
      </c>
      <c r="BA16" s="64">
        <v>6655</v>
      </c>
      <c r="BB16" s="7">
        <v>8304</v>
      </c>
      <c r="BC16" s="12">
        <v>1570</v>
      </c>
      <c r="BD16" s="66">
        <v>5363.0529999999999</v>
      </c>
      <c r="BE16" s="63">
        <f t="shared" si="17"/>
        <v>0.64583971579961463</v>
      </c>
      <c r="BF16" s="64">
        <v>0</v>
      </c>
      <c r="BG16" s="9">
        <v>0</v>
      </c>
      <c r="BH16" s="34">
        <v>0</v>
      </c>
      <c r="BI16" s="59">
        <v>0</v>
      </c>
      <c r="BJ16" s="63" t="e">
        <f t="shared" si="18"/>
        <v>#DIV/0!</v>
      </c>
      <c r="BK16" s="145">
        <f t="shared" si="3"/>
        <v>9981</v>
      </c>
      <c r="BL16" s="131">
        <f t="shared" si="4"/>
        <v>10140</v>
      </c>
      <c r="BM16" s="146">
        <f t="shared" si="5"/>
        <v>1885</v>
      </c>
      <c r="BN16" s="148">
        <f t="shared" si="53"/>
        <v>8407.57</v>
      </c>
      <c r="BO16" s="133">
        <f t="shared" si="19"/>
        <v>0.82914891518737666</v>
      </c>
      <c r="BP16" s="64">
        <v>4709</v>
      </c>
      <c r="BQ16" s="9">
        <v>6440</v>
      </c>
      <c r="BR16" s="34">
        <v>1269</v>
      </c>
      <c r="BS16" s="66">
        <v>4013.6390000000001</v>
      </c>
      <c r="BT16" s="63">
        <f t="shared" si="20"/>
        <v>0.62323586956521737</v>
      </c>
      <c r="BU16" s="64">
        <v>3594</v>
      </c>
      <c r="BV16" s="9">
        <v>3124</v>
      </c>
      <c r="BW16" s="34">
        <v>821</v>
      </c>
      <c r="BX16" s="66">
        <v>2966.8665000000001</v>
      </c>
      <c r="BY16" s="63">
        <f t="shared" si="21"/>
        <v>0.94970118437900131</v>
      </c>
      <c r="BZ16" s="145">
        <f t="shared" si="6"/>
        <v>8303</v>
      </c>
      <c r="CA16" s="131">
        <f t="shared" si="7"/>
        <v>9564</v>
      </c>
      <c r="CB16" s="131">
        <f t="shared" si="8"/>
        <v>2090</v>
      </c>
      <c r="CC16" s="132">
        <f t="shared" si="54"/>
        <v>6980.5055000000002</v>
      </c>
      <c r="CD16" s="133">
        <f t="shared" si="22"/>
        <v>0.72987301338352151</v>
      </c>
      <c r="CE16" s="64">
        <v>3438</v>
      </c>
      <c r="CF16" s="7">
        <v>4286</v>
      </c>
      <c r="CG16" s="12">
        <v>743</v>
      </c>
      <c r="CH16" s="66">
        <v>2861</v>
      </c>
      <c r="CI16" s="63">
        <f t="shared" si="23"/>
        <v>0.66752216518898744</v>
      </c>
      <c r="CJ16" s="156">
        <f t="shared" si="9"/>
        <v>39859</v>
      </c>
      <c r="CK16" s="156">
        <f t="shared" si="10"/>
        <v>44794</v>
      </c>
      <c r="CL16" s="157">
        <f t="shared" si="11"/>
        <v>8390</v>
      </c>
      <c r="CM16" s="158">
        <f t="shared" si="12"/>
        <v>31146.727500000001</v>
      </c>
      <c r="CN16" s="133">
        <f t="shared" si="24"/>
        <v>0.69533257802384252</v>
      </c>
    </row>
    <row r="17" spans="1:92" ht="15.75" x14ac:dyDescent="0.25">
      <c r="A17" s="3" t="s">
        <v>26</v>
      </c>
      <c r="B17" s="5" t="s">
        <v>27</v>
      </c>
      <c r="C17" s="62">
        <f t="shared" ref="C17" si="55">SUM(C14:C16)</f>
        <v>93850</v>
      </c>
      <c r="D17" s="8">
        <f t="shared" ref="D17" si="56">SUM(D14:D16)</f>
        <v>107565</v>
      </c>
      <c r="E17" s="12">
        <f t="shared" ref="E17:F17" si="57">SUM(E14:E16)</f>
        <v>47382</v>
      </c>
      <c r="F17" s="37">
        <f t="shared" si="57"/>
        <v>88586.559999999998</v>
      </c>
      <c r="G17" s="63">
        <f t="shared" si="13"/>
        <v>0.82356305489703896</v>
      </c>
      <c r="H17" s="64">
        <f t="shared" ref="H17" si="58">SUM(H14:H16)</f>
        <v>17368</v>
      </c>
      <c r="I17" s="7">
        <f t="shared" ref="I17" si="59">SUM(I14:I16)</f>
        <v>21210</v>
      </c>
      <c r="J17" s="12">
        <f t="shared" ref="J17:K17" si="60">SUM(J14:J16)</f>
        <v>8081</v>
      </c>
      <c r="K17" s="37">
        <f t="shared" si="60"/>
        <v>17502.098000000002</v>
      </c>
      <c r="L17" s="63">
        <f t="shared" si="25"/>
        <v>0.82518142385667148</v>
      </c>
      <c r="M17" s="64">
        <f t="shared" ref="M17:P17" si="61">SUM(M14:M16)</f>
        <v>12445</v>
      </c>
      <c r="N17" s="9">
        <f t="shared" si="61"/>
        <v>13503</v>
      </c>
      <c r="O17" s="34">
        <f t="shared" si="61"/>
        <v>6033</v>
      </c>
      <c r="P17" s="106">
        <f t="shared" si="61"/>
        <v>13592.567999999999</v>
      </c>
      <c r="Q17" s="63">
        <f t="shared" si="14"/>
        <v>1.0066331926238614</v>
      </c>
      <c r="R17" s="64">
        <f t="shared" ref="R17" si="62">SUM(R14:R16)</f>
        <v>0</v>
      </c>
      <c r="S17" s="7">
        <f t="shared" ref="S17" si="63">SUM(S14:S16)</f>
        <v>0</v>
      </c>
      <c r="T17" s="12">
        <f t="shared" ref="T17" si="64">SUM(T14:T16)</f>
        <v>0</v>
      </c>
      <c r="U17" s="104"/>
      <c r="V17" s="63"/>
      <c r="W17" s="129">
        <f t="shared" si="0"/>
        <v>123663</v>
      </c>
      <c r="X17" s="130">
        <f t="shared" si="1"/>
        <v>142278</v>
      </c>
      <c r="Y17" s="131">
        <f t="shared" si="2"/>
        <v>61496</v>
      </c>
      <c r="Z17" s="132">
        <f>SUM(Z14:Z16)</f>
        <v>119681.226</v>
      </c>
      <c r="AA17" s="133">
        <f t="shared" si="16"/>
        <v>0.84117872053304088</v>
      </c>
      <c r="AB17" s="64">
        <f t="shared" ref="AB17" si="65">SUM(AB14:AB16)</f>
        <v>2694</v>
      </c>
      <c r="AC17" s="7">
        <f t="shared" ref="AC17" si="66">SUM(AC14:AC16)</f>
        <v>2734</v>
      </c>
      <c r="AD17" s="12">
        <f t="shared" ref="AD17:AE17" si="67">SUM(AD14:AD16)</f>
        <v>1098</v>
      </c>
      <c r="AE17" s="116">
        <f t="shared" si="67"/>
        <v>4891.6259999999993</v>
      </c>
      <c r="AF17" s="63">
        <f t="shared" si="26"/>
        <v>1.7891828822238476</v>
      </c>
      <c r="AG17" s="64">
        <f t="shared" ref="AG17:AJ17" si="68">SUM(AG14:AG16)</f>
        <v>2692</v>
      </c>
      <c r="AH17" s="7">
        <f t="shared" si="68"/>
        <v>2732</v>
      </c>
      <c r="AI17" s="12">
        <f t="shared" si="68"/>
        <v>1095</v>
      </c>
      <c r="AJ17" s="37">
        <f t="shared" si="68"/>
        <v>10674.742</v>
      </c>
      <c r="AK17" s="63">
        <f t="shared" si="27"/>
        <v>3.9072994143484627</v>
      </c>
      <c r="AL17" s="64">
        <f t="shared" ref="AL17:AO17" si="69">SUM(AL14:AL16)</f>
        <v>7084</v>
      </c>
      <c r="AM17" s="7">
        <f t="shared" si="69"/>
        <v>8984</v>
      </c>
      <c r="AN17" s="12">
        <f t="shared" si="69"/>
        <v>2745</v>
      </c>
      <c r="AO17" s="37">
        <f t="shared" si="69"/>
        <v>6389.1729999999998</v>
      </c>
      <c r="AP17" s="63">
        <f t="shared" si="28"/>
        <v>0.71117241763134453</v>
      </c>
      <c r="AQ17" s="64">
        <f>SUM(AQ14:AQ16)</f>
        <v>1986</v>
      </c>
      <c r="AR17" s="7">
        <f t="shared" ref="AR17" si="70">SUM(AR14:AR16)</f>
        <v>1759</v>
      </c>
      <c r="AS17" s="12">
        <f>SUM(AS14:AS16)</f>
        <v>816</v>
      </c>
      <c r="AT17" s="37">
        <f>SUM(AT14:AT16)</f>
        <v>1734.521</v>
      </c>
      <c r="AU17" s="63">
        <f t="shared" si="29"/>
        <v>0.98608357021034676</v>
      </c>
      <c r="AV17" s="64">
        <f t="shared" ref="AV17" si="71">SUM(AV14:AV16)</f>
        <v>10278</v>
      </c>
      <c r="AW17" s="7">
        <f t="shared" ref="AW17:AY17" si="72">SUM(AW14:AW16)</f>
        <v>6664</v>
      </c>
      <c r="AX17" s="12">
        <f t="shared" si="72"/>
        <v>3080</v>
      </c>
      <c r="AY17" s="37">
        <f t="shared" si="72"/>
        <v>6420.9520000000002</v>
      </c>
      <c r="AZ17" s="63">
        <f t="shared" si="30"/>
        <v>0.96352821128451382</v>
      </c>
      <c r="BA17" s="64">
        <f t="shared" ref="BA17:BD17" si="73">SUM(BA14:BA16)</f>
        <v>43728</v>
      </c>
      <c r="BB17" s="7">
        <f t="shared" si="73"/>
        <v>52496</v>
      </c>
      <c r="BC17" s="12">
        <f t="shared" si="73"/>
        <v>23054</v>
      </c>
      <c r="BD17" s="37">
        <f t="shared" si="73"/>
        <v>49794.21</v>
      </c>
      <c r="BE17" s="63">
        <f t="shared" si="17"/>
        <v>0.94853341206949104</v>
      </c>
      <c r="BF17" s="64">
        <f t="shared" ref="BF17:BH17" si="74">SUM(BF14:BF16)</f>
        <v>0</v>
      </c>
      <c r="BG17" s="11">
        <f t="shared" si="74"/>
        <v>0</v>
      </c>
      <c r="BH17" s="12">
        <f t="shared" si="74"/>
        <v>0</v>
      </c>
      <c r="BI17" s="59">
        <v>0</v>
      </c>
      <c r="BJ17" s="63" t="e">
        <f t="shared" si="18"/>
        <v>#DIV/0!</v>
      </c>
      <c r="BK17" s="145">
        <f t="shared" si="3"/>
        <v>68462</v>
      </c>
      <c r="BL17" s="131">
        <f t="shared" si="4"/>
        <v>75369</v>
      </c>
      <c r="BM17" s="146">
        <f t="shared" si="5"/>
        <v>31888</v>
      </c>
      <c r="BN17" s="148">
        <f t="shared" si="5"/>
        <v>79905.224000000002</v>
      </c>
      <c r="BO17" s="133">
        <f t="shared" si="19"/>
        <v>1.0601868672796508</v>
      </c>
      <c r="BP17" s="64">
        <f t="shared" ref="BP17" si="75">SUM(BP14:BP16)</f>
        <v>32949</v>
      </c>
      <c r="BQ17" s="9">
        <f t="shared" ref="BQ17:BS17" si="76">SUM(BQ14:BQ16)</f>
        <v>45715</v>
      </c>
      <c r="BR17" s="34">
        <f t="shared" si="76"/>
        <v>15958</v>
      </c>
      <c r="BS17" s="107">
        <f t="shared" si="76"/>
        <v>35539.775000000001</v>
      </c>
      <c r="BT17" s="63">
        <f t="shared" si="20"/>
        <v>0.77742043093076674</v>
      </c>
      <c r="BU17" s="64">
        <f t="shared" ref="BU17:BX17" si="77">SUM(BU14:BU16)</f>
        <v>23351</v>
      </c>
      <c r="BV17" s="9">
        <f t="shared" si="77"/>
        <v>26867</v>
      </c>
      <c r="BW17" s="34">
        <f t="shared" si="77"/>
        <v>12382</v>
      </c>
      <c r="BX17" s="106">
        <f t="shared" si="77"/>
        <v>26532.319500000001</v>
      </c>
      <c r="BY17" s="63">
        <f t="shared" si="21"/>
        <v>0.98754306398183656</v>
      </c>
      <c r="BZ17" s="145">
        <f t="shared" si="6"/>
        <v>56300</v>
      </c>
      <c r="CA17" s="131">
        <f t="shared" si="7"/>
        <v>72582</v>
      </c>
      <c r="CB17" s="131">
        <f t="shared" si="8"/>
        <v>28340</v>
      </c>
      <c r="CC17" s="132">
        <f t="shared" si="8"/>
        <v>62072.094500000007</v>
      </c>
      <c r="CD17" s="133">
        <f t="shared" si="22"/>
        <v>0.855199560497093</v>
      </c>
      <c r="CE17" s="64">
        <v>23314</v>
      </c>
      <c r="CF17" s="7">
        <f t="shared" ref="CF17" si="78">SUM(CF14:CF16)</f>
        <v>27083</v>
      </c>
      <c r="CG17" s="12">
        <f>SUM(CG14:CG16)</f>
        <v>10536</v>
      </c>
      <c r="CH17" s="37">
        <f>SUM(CH14:CH16)</f>
        <v>26231.350999999999</v>
      </c>
      <c r="CI17" s="63">
        <f t="shared" si="23"/>
        <v>0.96855411143521764</v>
      </c>
      <c r="CJ17" s="156">
        <f t="shared" si="9"/>
        <v>271739</v>
      </c>
      <c r="CK17" s="156">
        <f t="shared" si="10"/>
        <v>317312</v>
      </c>
      <c r="CL17" s="157">
        <f t="shared" si="11"/>
        <v>132260</v>
      </c>
      <c r="CM17" s="158">
        <f t="shared" si="12"/>
        <v>287889.89550000004</v>
      </c>
      <c r="CN17" s="133">
        <f t="shared" si="24"/>
        <v>0.90727705066306996</v>
      </c>
    </row>
    <row r="18" spans="1:92" ht="15.75" x14ac:dyDescent="0.25">
      <c r="A18" s="3" t="s">
        <v>28</v>
      </c>
      <c r="B18" s="5" t="s">
        <v>29</v>
      </c>
      <c r="C18" s="62">
        <f>12482+702+710</f>
        <v>13894</v>
      </c>
      <c r="D18" s="8">
        <v>14857</v>
      </c>
      <c r="E18" s="12">
        <v>7501</v>
      </c>
      <c r="F18" s="66">
        <f>E18+7770</f>
        <v>15271</v>
      </c>
      <c r="G18" s="63">
        <f t="shared" si="13"/>
        <v>1.0278656525543515</v>
      </c>
      <c r="H18" s="64">
        <v>2175</v>
      </c>
      <c r="I18" s="7">
        <v>4093</v>
      </c>
      <c r="J18" s="12">
        <v>1189</v>
      </c>
      <c r="K18" s="66">
        <f>J18+1947</f>
        <v>3136</v>
      </c>
      <c r="L18" s="63">
        <f t="shared" si="25"/>
        <v>0.76618617151233814</v>
      </c>
      <c r="M18" s="64">
        <v>685</v>
      </c>
      <c r="N18" s="9">
        <v>2010</v>
      </c>
      <c r="O18" s="34">
        <v>567</v>
      </c>
      <c r="P18" s="66">
        <f>O18+1505</f>
        <v>2072</v>
      </c>
      <c r="Q18" s="63">
        <f t="shared" si="14"/>
        <v>1.0308457711442787</v>
      </c>
      <c r="R18" s="64">
        <v>84</v>
      </c>
      <c r="S18" s="7">
        <v>520</v>
      </c>
      <c r="T18" s="12">
        <v>89</v>
      </c>
      <c r="U18" s="103">
        <f>T18+432</f>
        <v>521</v>
      </c>
      <c r="V18" s="63">
        <f t="shared" si="15"/>
        <v>1.0019230769230769</v>
      </c>
      <c r="W18" s="129">
        <f t="shared" si="0"/>
        <v>16838</v>
      </c>
      <c r="X18" s="130">
        <f t="shared" si="1"/>
        <v>21480</v>
      </c>
      <c r="Y18" s="131">
        <f t="shared" si="2"/>
        <v>9346</v>
      </c>
      <c r="Z18" s="132">
        <f>F18+K18+P18+U18</f>
        <v>21000</v>
      </c>
      <c r="AA18" s="133">
        <f t="shared" si="16"/>
        <v>0.97765363128491622</v>
      </c>
      <c r="AB18" s="64">
        <v>237</v>
      </c>
      <c r="AC18" s="7">
        <v>398</v>
      </c>
      <c r="AD18" s="12">
        <v>256</v>
      </c>
      <c r="AE18" s="66">
        <f>AD18+286</f>
        <v>542</v>
      </c>
      <c r="AF18" s="63">
        <f t="shared" si="26"/>
        <v>1.3618090452261307</v>
      </c>
      <c r="AG18" s="64">
        <v>9</v>
      </c>
      <c r="AH18" s="7">
        <v>143</v>
      </c>
      <c r="AI18" s="12">
        <v>23</v>
      </c>
      <c r="AJ18" s="65">
        <f>AI18+23</f>
        <v>46</v>
      </c>
      <c r="AK18" s="63">
        <f t="shared" si="27"/>
        <v>0.32167832167832167</v>
      </c>
      <c r="AL18" s="64">
        <v>1160</v>
      </c>
      <c r="AM18" s="7">
        <v>1264</v>
      </c>
      <c r="AN18" s="12">
        <v>609</v>
      </c>
      <c r="AO18" s="65">
        <f>AN18+661</f>
        <v>1270</v>
      </c>
      <c r="AP18" s="63">
        <f t="shared" si="28"/>
        <v>1.004746835443038</v>
      </c>
      <c r="AQ18" s="64">
        <v>365</v>
      </c>
      <c r="AR18" s="7">
        <v>127</v>
      </c>
      <c r="AS18" s="12">
        <v>66</v>
      </c>
      <c r="AT18" s="65">
        <f>AS18+67</f>
        <v>133</v>
      </c>
      <c r="AU18" s="63">
        <f t="shared" si="29"/>
        <v>1.0472440944881889</v>
      </c>
      <c r="AV18" s="64">
        <v>2566</v>
      </c>
      <c r="AW18" s="7">
        <v>2916</v>
      </c>
      <c r="AX18" s="12">
        <v>1696</v>
      </c>
      <c r="AY18" s="65">
        <f>AX18+1587</f>
        <v>3283</v>
      </c>
      <c r="AZ18" s="63">
        <f t="shared" si="30"/>
        <v>1.1258573388203017</v>
      </c>
      <c r="BA18" s="64">
        <v>841</v>
      </c>
      <c r="BB18" s="7">
        <v>1359</v>
      </c>
      <c r="BC18" s="12">
        <v>349</v>
      </c>
      <c r="BD18" s="65">
        <f>BC18+545</f>
        <v>894</v>
      </c>
      <c r="BE18" s="63">
        <f t="shared" si="17"/>
        <v>0.65783664459161151</v>
      </c>
      <c r="BF18" s="64">
        <v>47</v>
      </c>
      <c r="BG18" s="9">
        <v>694</v>
      </c>
      <c r="BH18" s="34">
        <v>143</v>
      </c>
      <c r="BI18" s="65">
        <f>BH18+321</f>
        <v>464</v>
      </c>
      <c r="BJ18" s="63">
        <f t="shared" si="18"/>
        <v>0.66858789625360227</v>
      </c>
      <c r="BK18" s="145">
        <f t="shared" si="3"/>
        <v>5225</v>
      </c>
      <c r="BL18" s="131">
        <f t="shared" si="4"/>
        <v>6901</v>
      </c>
      <c r="BM18" s="146">
        <f t="shared" si="5"/>
        <v>3142</v>
      </c>
      <c r="BN18" s="148">
        <f>AE18+AJ18+AO18+AT18+AY18+BD18+BI18</f>
        <v>6632</v>
      </c>
      <c r="BO18" s="133">
        <f t="shared" si="19"/>
        <v>0.96102014200840458</v>
      </c>
      <c r="BP18" s="64">
        <v>8057</v>
      </c>
      <c r="BQ18" s="9">
        <v>5936</v>
      </c>
      <c r="BR18" s="34">
        <v>2309</v>
      </c>
      <c r="BS18" s="66">
        <f>BR18+2863</f>
        <v>5172</v>
      </c>
      <c r="BT18" s="63">
        <f t="shared" si="20"/>
        <v>0.87129380053908356</v>
      </c>
      <c r="BU18" s="64">
        <v>2034</v>
      </c>
      <c r="BV18" s="9">
        <v>3092</v>
      </c>
      <c r="BW18" s="34">
        <v>1911</v>
      </c>
      <c r="BX18" s="65">
        <f>BW18+2090</f>
        <v>4001</v>
      </c>
      <c r="BY18" s="63">
        <f t="shared" si="21"/>
        <v>1.2939844760672703</v>
      </c>
      <c r="BZ18" s="145">
        <f t="shared" si="6"/>
        <v>10091</v>
      </c>
      <c r="CA18" s="131">
        <f t="shared" si="7"/>
        <v>9028</v>
      </c>
      <c r="CB18" s="131">
        <f t="shared" si="8"/>
        <v>4220</v>
      </c>
      <c r="CC18" s="132">
        <f>BS18+BX18</f>
        <v>9173</v>
      </c>
      <c r="CD18" s="133">
        <f t="shared" si="22"/>
        <v>1.0160611431103235</v>
      </c>
      <c r="CE18" s="64">
        <v>1999</v>
      </c>
      <c r="CF18" s="7">
        <v>1191</v>
      </c>
      <c r="CG18" s="12">
        <v>386</v>
      </c>
      <c r="CH18" s="65">
        <f>CG18+444</f>
        <v>830</v>
      </c>
      <c r="CI18" s="63">
        <f t="shared" si="23"/>
        <v>0.69689336691855586</v>
      </c>
      <c r="CJ18" s="156">
        <f t="shared" si="9"/>
        <v>34153</v>
      </c>
      <c r="CK18" s="156">
        <f t="shared" si="10"/>
        <v>38600</v>
      </c>
      <c r="CL18" s="157">
        <f t="shared" si="11"/>
        <v>17094</v>
      </c>
      <c r="CM18" s="158">
        <f t="shared" si="12"/>
        <v>37635</v>
      </c>
      <c r="CN18" s="133">
        <f t="shared" si="24"/>
        <v>0.97499999999999998</v>
      </c>
    </row>
    <row r="19" spans="1:92" ht="15.75" x14ac:dyDescent="0.25">
      <c r="A19" s="3" t="s">
        <v>30</v>
      </c>
      <c r="B19" s="5" t="s">
        <v>31</v>
      </c>
      <c r="C19" s="62">
        <v>12614</v>
      </c>
      <c r="D19" s="8">
        <v>10131</v>
      </c>
      <c r="E19" s="12">
        <v>2</v>
      </c>
      <c r="F19" s="66">
        <f>E19+14122</f>
        <v>14124</v>
      </c>
      <c r="G19" s="63">
        <f t="shared" si="13"/>
        <v>1.3941368078175895</v>
      </c>
      <c r="H19" s="64">
        <v>0</v>
      </c>
      <c r="I19" s="7">
        <v>3263</v>
      </c>
      <c r="J19" s="12">
        <v>1</v>
      </c>
      <c r="K19" s="66">
        <f>J19+1</f>
        <v>2</v>
      </c>
      <c r="L19" s="63">
        <f t="shared" si="25"/>
        <v>6.1293288384921848E-4</v>
      </c>
      <c r="M19" s="64"/>
      <c r="N19" s="9">
        <v>0</v>
      </c>
      <c r="O19" s="34"/>
      <c r="P19" s="66">
        <f>O19+0</f>
        <v>0</v>
      </c>
      <c r="Q19" s="63"/>
      <c r="R19" s="64"/>
      <c r="S19" s="7">
        <v>0</v>
      </c>
      <c r="T19" s="12"/>
      <c r="U19" s="103">
        <f>T19+0</f>
        <v>0</v>
      </c>
      <c r="V19" s="63"/>
      <c r="W19" s="129">
        <f t="shared" si="0"/>
        <v>12614</v>
      </c>
      <c r="X19" s="130">
        <f t="shared" si="1"/>
        <v>13394</v>
      </c>
      <c r="Y19" s="131">
        <f t="shared" si="2"/>
        <v>3</v>
      </c>
      <c r="Z19" s="132">
        <f>F19+K19+P19+U19</f>
        <v>14126</v>
      </c>
      <c r="AA19" s="133">
        <f t="shared" si="16"/>
        <v>1.0546513364192922</v>
      </c>
      <c r="AB19" s="64">
        <v>52</v>
      </c>
      <c r="AC19" s="9">
        <v>46</v>
      </c>
      <c r="AD19" s="34">
        <v>0</v>
      </c>
      <c r="AE19" s="66">
        <f>AD19+0</f>
        <v>0</v>
      </c>
      <c r="AF19" s="63">
        <f t="shared" si="26"/>
        <v>0</v>
      </c>
      <c r="AG19" s="64"/>
      <c r="AH19" s="9">
        <v>0</v>
      </c>
      <c r="AI19" s="34"/>
      <c r="AJ19" s="65">
        <f>AI19+0</f>
        <v>0</v>
      </c>
      <c r="AK19" s="63"/>
      <c r="AL19" s="64"/>
      <c r="AM19" s="9">
        <v>0</v>
      </c>
      <c r="AN19" s="34"/>
      <c r="AO19" s="65">
        <f>AN19+0</f>
        <v>0</v>
      </c>
      <c r="AP19" s="63"/>
      <c r="AQ19" s="64"/>
      <c r="AR19" s="9">
        <v>0</v>
      </c>
      <c r="AS19" s="34"/>
      <c r="AT19" s="65">
        <f>AS19+0</f>
        <v>0</v>
      </c>
      <c r="AU19" s="63"/>
      <c r="AV19" s="64">
        <v>-335</v>
      </c>
      <c r="AW19" s="9">
        <v>280</v>
      </c>
      <c r="AX19" s="34">
        <v>-144</v>
      </c>
      <c r="AY19" s="65">
        <f>AX19+-98</f>
        <v>-242</v>
      </c>
      <c r="AZ19" s="63">
        <f t="shared" si="30"/>
        <v>-0.86428571428571432</v>
      </c>
      <c r="BA19" s="64">
        <v>1</v>
      </c>
      <c r="BB19" s="9">
        <v>2</v>
      </c>
      <c r="BC19" s="34"/>
      <c r="BD19" s="65">
        <f>BC19+0</f>
        <v>0</v>
      </c>
      <c r="BE19" s="63">
        <f t="shared" si="17"/>
        <v>0</v>
      </c>
      <c r="BF19" s="64"/>
      <c r="BG19" s="9">
        <v>3620</v>
      </c>
      <c r="BH19" s="34"/>
      <c r="BI19" s="65">
        <f>BH19+0</f>
        <v>0</v>
      </c>
      <c r="BJ19" s="63">
        <f t="shared" si="18"/>
        <v>0</v>
      </c>
      <c r="BK19" s="145">
        <f t="shared" si="3"/>
        <v>-282</v>
      </c>
      <c r="BL19" s="131">
        <f t="shared" si="4"/>
        <v>3948</v>
      </c>
      <c r="BM19" s="146">
        <f t="shared" si="5"/>
        <v>-144</v>
      </c>
      <c r="BN19" s="148">
        <f>AE19+AJ19+AO19+AT19+AY19+BD19+BI19</f>
        <v>-242</v>
      </c>
      <c r="BO19" s="133">
        <f t="shared" si="19"/>
        <v>-6.1296859169199594E-2</v>
      </c>
      <c r="BP19" s="64"/>
      <c r="BQ19" s="9">
        <v>0</v>
      </c>
      <c r="BR19" s="34"/>
      <c r="BS19" s="66">
        <f>BR19+3620</f>
        <v>3620</v>
      </c>
      <c r="BT19" s="63"/>
      <c r="BU19" s="64"/>
      <c r="BV19" s="9">
        <v>0</v>
      </c>
      <c r="BW19" s="34"/>
      <c r="BX19" s="65">
        <f>BW19+0</f>
        <v>0</v>
      </c>
      <c r="BY19" s="63"/>
      <c r="BZ19" s="145">
        <f t="shared" si="6"/>
        <v>0</v>
      </c>
      <c r="CA19" s="131">
        <f t="shared" si="7"/>
        <v>0</v>
      </c>
      <c r="CB19" s="131">
        <f t="shared" si="8"/>
        <v>0</v>
      </c>
      <c r="CC19" s="132">
        <f>BS19+BX19</f>
        <v>3620</v>
      </c>
      <c r="CD19" s="133"/>
      <c r="CE19" s="64">
        <v>20</v>
      </c>
      <c r="CF19" s="7">
        <v>0</v>
      </c>
      <c r="CG19" s="12">
        <v>309</v>
      </c>
      <c r="CH19" s="65">
        <f>CG19+0</f>
        <v>309</v>
      </c>
      <c r="CI19" s="63"/>
      <c r="CJ19" s="156">
        <f t="shared" si="9"/>
        <v>12352</v>
      </c>
      <c r="CK19" s="156">
        <f t="shared" si="10"/>
        <v>17342</v>
      </c>
      <c r="CL19" s="157">
        <f t="shared" si="11"/>
        <v>168</v>
      </c>
      <c r="CM19" s="158">
        <f t="shared" si="12"/>
        <v>17813</v>
      </c>
      <c r="CN19" s="133">
        <f t="shared" si="24"/>
        <v>1.0271594971744897</v>
      </c>
    </row>
    <row r="20" spans="1:92" ht="15.75" x14ac:dyDescent="0.25">
      <c r="A20" s="18" t="s">
        <v>32</v>
      </c>
      <c r="B20" s="19" t="s">
        <v>33</v>
      </c>
      <c r="C20" s="67">
        <f>C5+C6+C7-C13-C17-C18-C19</f>
        <v>-3503</v>
      </c>
      <c r="D20" s="20">
        <f t="shared" ref="D20:F20" si="79">D5+D6+D7-D13-D17-D18-D19</f>
        <v>-21502</v>
      </c>
      <c r="E20" s="23">
        <f t="shared" si="79"/>
        <v>-36268</v>
      </c>
      <c r="F20" s="38">
        <f t="shared" si="79"/>
        <v>-80850.559999999998</v>
      </c>
      <c r="G20" s="63">
        <f t="shared" si="13"/>
        <v>3.7601413821970047</v>
      </c>
      <c r="H20" s="68">
        <f>H5+H6+H7-H13-H17-H18-H19</f>
        <v>11756</v>
      </c>
      <c r="I20" s="22">
        <f t="shared" ref="I20:K20" si="80">I5+I6+I7-I13-I17-I18-I19</f>
        <v>7360</v>
      </c>
      <c r="J20" s="23">
        <f t="shared" si="80"/>
        <v>-8299</v>
      </c>
      <c r="K20" s="38">
        <f t="shared" si="80"/>
        <v>-6868.0980000000018</v>
      </c>
      <c r="L20" s="63">
        <f t="shared" si="25"/>
        <v>-0.93316548913043507</v>
      </c>
      <c r="M20" s="64">
        <f>M5+M6+M7-M13-M17-M18-M19</f>
        <v>3372</v>
      </c>
      <c r="N20" s="9">
        <f t="shared" ref="N20:P20" si="81">N5+N6+N7-N13-N17-N18-N19</f>
        <v>1006</v>
      </c>
      <c r="O20" s="34">
        <f t="shared" si="81"/>
        <v>883</v>
      </c>
      <c r="P20" s="106">
        <f t="shared" si="81"/>
        <v>1743.4320000000007</v>
      </c>
      <c r="Q20" s="63">
        <f t="shared" si="14"/>
        <v>1.7330337972167005</v>
      </c>
      <c r="R20" s="68">
        <f>R5+R6+R7-R13-R17-R18-R19</f>
        <v>2358</v>
      </c>
      <c r="S20" s="21">
        <f t="shared" ref="S20:U20" si="82">S5+S6+S7-S13-S17-S18-S19</f>
        <v>3023</v>
      </c>
      <c r="T20" s="23">
        <f t="shared" si="82"/>
        <v>13552</v>
      </c>
      <c r="U20" s="117">
        <f t="shared" si="82"/>
        <v>4573</v>
      </c>
      <c r="V20" s="63">
        <f t="shared" si="15"/>
        <v>1.5127356930201787</v>
      </c>
      <c r="W20" s="129">
        <f t="shared" si="0"/>
        <v>13983</v>
      </c>
      <c r="X20" s="130">
        <f t="shared" si="1"/>
        <v>-10113</v>
      </c>
      <c r="Y20" s="131">
        <f t="shared" si="2"/>
        <v>-30132</v>
      </c>
      <c r="Z20" s="132">
        <f t="shared" si="2"/>
        <v>-81402.225999999995</v>
      </c>
      <c r="AA20" s="133">
        <f t="shared" si="16"/>
        <v>8.049265895382181</v>
      </c>
      <c r="AB20" s="68">
        <f>AB5+AB6+AB7-AB13-AB17-AB18-AB19</f>
        <v>27944</v>
      </c>
      <c r="AC20" s="22">
        <f t="shared" ref="AC20" si="83">AC5+AC6+AC7-AC13-AC17-AC18-AC19</f>
        <v>28073</v>
      </c>
      <c r="AD20" s="113">
        <f>AD5+AD6+AD7-AD13-AD17-AD18-AD19</f>
        <v>20312</v>
      </c>
      <c r="AE20" s="38">
        <f>AE5+AE6+AE7-AE13-AE17-AE18-AE19</f>
        <v>38047.374000000003</v>
      </c>
      <c r="AF20" s="63">
        <f t="shared" si="26"/>
        <v>1.3553013215545187</v>
      </c>
      <c r="AG20" s="68">
        <f>AG5+AG6+AG7-AG13-AG17-AG18-AG19</f>
        <v>20490</v>
      </c>
      <c r="AH20" s="22">
        <f t="shared" ref="AH20" si="84">AH5+AH6+AH7-AH13-AH17-AH18-AH19</f>
        <v>15785</v>
      </c>
      <c r="AI20" s="23">
        <f>AI5+AI6+AI7-AI13-AI17-AI18-AI19</f>
        <v>12156</v>
      </c>
      <c r="AJ20" s="38">
        <f>AJ5+AJ6+AJ7-AJ13-AJ17-AJ18-AJ19</f>
        <v>14750.258</v>
      </c>
      <c r="AK20" s="63">
        <f t="shared" si="27"/>
        <v>0.93444776686727904</v>
      </c>
      <c r="AL20" s="68">
        <f>AL5+AL6+AL7-AL13-AL17-AL18-AL19</f>
        <v>-1807</v>
      </c>
      <c r="AM20" s="22">
        <f t="shared" ref="AM20:AO20" si="85">AM5+AM6+AM7-AM13-AM17-AM18-AM19</f>
        <v>-4552</v>
      </c>
      <c r="AN20" s="23">
        <f t="shared" si="85"/>
        <v>-2133</v>
      </c>
      <c r="AO20" s="38">
        <f t="shared" si="85"/>
        <v>-2980.1729999999998</v>
      </c>
      <c r="AP20" s="63">
        <f t="shared" si="28"/>
        <v>0.65469529876977151</v>
      </c>
      <c r="AQ20" s="68">
        <f>AQ5+AQ6+AQ7-AQ13-AQ17-AQ18-AQ19</f>
        <v>3024</v>
      </c>
      <c r="AR20" s="22">
        <f t="shared" ref="AR20:AT20" si="86">AR5+AR6+AR7-AR13-AR17-AR18-AR19</f>
        <v>3677</v>
      </c>
      <c r="AS20" s="23">
        <f t="shared" si="86"/>
        <v>1491</v>
      </c>
      <c r="AT20" s="38">
        <f t="shared" si="86"/>
        <v>2796.4790000000003</v>
      </c>
      <c r="AU20" s="63">
        <f t="shared" si="29"/>
        <v>0.76053277128093566</v>
      </c>
      <c r="AV20" s="68">
        <f>AV5+AV6+AV7-AV13-AV17-AV18-AV19</f>
        <v>8415</v>
      </c>
      <c r="AW20" s="22">
        <f>AW5+AW6+AW7-AW13-AW17-AW18-AW19</f>
        <v>13060</v>
      </c>
      <c r="AX20" s="23">
        <f t="shared" ref="AX20:AY20" si="87">AX5+AX6+AX7-AX13-AX17-AX18-AX19</f>
        <v>8508</v>
      </c>
      <c r="AY20" s="38">
        <f t="shared" si="87"/>
        <v>9710.0479999999989</v>
      </c>
      <c r="AZ20" s="63">
        <f t="shared" si="30"/>
        <v>0.74349525267993866</v>
      </c>
      <c r="BA20" s="68">
        <f>BA5+BA6+BA7-BA13-BA17-BA18-BA19</f>
        <v>-30658</v>
      </c>
      <c r="BB20" s="22">
        <f t="shared" ref="BB20:BD20" si="88">BB5+BB6+BB7-BB13-BB17-BB18-BB19</f>
        <v>-34569</v>
      </c>
      <c r="BC20" s="23">
        <f t="shared" si="88"/>
        <v>-16226</v>
      </c>
      <c r="BD20" s="38">
        <f t="shared" si="88"/>
        <v>-35797.21</v>
      </c>
      <c r="BE20" s="63">
        <f t="shared" si="17"/>
        <v>1.0355292313922879</v>
      </c>
      <c r="BF20" s="68">
        <f>BF5+BF6+BF7-BF13-BF17-BF18-BF19</f>
        <v>-1739</v>
      </c>
      <c r="BG20" s="21">
        <f t="shared" ref="BG20:BI20" si="89">BG5+BG6+BG7-BG13-BG17-BG18-BG19</f>
        <v>-1356</v>
      </c>
      <c r="BH20" s="23">
        <f t="shared" si="89"/>
        <v>-2676</v>
      </c>
      <c r="BI20" s="38">
        <f t="shared" si="89"/>
        <v>-3351</v>
      </c>
      <c r="BJ20" s="63">
        <f t="shared" si="18"/>
        <v>2.4712389380530975</v>
      </c>
      <c r="BK20" s="145">
        <f t="shared" si="3"/>
        <v>25669</v>
      </c>
      <c r="BL20" s="131">
        <f t="shared" si="4"/>
        <v>20118</v>
      </c>
      <c r="BM20" s="146">
        <f t="shared" si="5"/>
        <v>21432</v>
      </c>
      <c r="BN20" s="148">
        <f t="shared" si="5"/>
        <v>23175.776000000005</v>
      </c>
      <c r="BO20" s="133">
        <f t="shared" si="19"/>
        <v>1.1519920469231537</v>
      </c>
      <c r="BP20" s="64">
        <f>BP5+BP6+BP7-BP13-BP17-BP18-BP19</f>
        <v>-1390</v>
      </c>
      <c r="BQ20" s="9">
        <f t="shared" ref="BQ20:BS20" si="90">BQ5+BQ6+BQ7-BQ13-BQ17-BQ18-BQ19</f>
        <v>5214</v>
      </c>
      <c r="BR20" s="34">
        <f t="shared" si="90"/>
        <v>23859</v>
      </c>
      <c r="BS20" s="107">
        <f t="shared" si="90"/>
        <v>38401.224999999999</v>
      </c>
      <c r="BT20" s="63">
        <f t="shared" si="20"/>
        <v>7.3650220560030686</v>
      </c>
      <c r="BU20" s="64">
        <f>BU5+BU6+BU7-BU13-BU17-BU18-BU19</f>
        <v>2659</v>
      </c>
      <c r="BV20" s="9">
        <f t="shared" ref="BV20:BX20" si="91">BV5+BV6+BV7-BV13-BV17-BV18-BV19</f>
        <v>-519</v>
      </c>
      <c r="BW20" s="34">
        <f t="shared" si="91"/>
        <v>729</v>
      </c>
      <c r="BX20" s="106">
        <f t="shared" si="91"/>
        <v>657.68049999999857</v>
      </c>
      <c r="BY20" s="63">
        <f t="shared" si="21"/>
        <v>-1.2672071290944096</v>
      </c>
      <c r="BZ20" s="145">
        <f t="shared" si="6"/>
        <v>1269</v>
      </c>
      <c r="CA20" s="131">
        <f t="shared" si="7"/>
        <v>4695</v>
      </c>
      <c r="CB20" s="131">
        <f t="shared" si="8"/>
        <v>24588</v>
      </c>
      <c r="CC20" s="132">
        <f t="shared" si="8"/>
        <v>39058.905499999993</v>
      </c>
      <c r="CD20" s="133">
        <f t="shared" si="22"/>
        <v>8.3192556975505845</v>
      </c>
      <c r="CE20" s="68">
        <v>-26131</v>
      </c>
      <c r="CF20" s="22">
        <f t="shared" ref="CF20" si="92">CF5+CF6+CF7-CF13-CF17-CF18-CF19</f>
        <v>-33779</v>
      </c>
      <c r="CG20" s="23">
        <f>CG5+CG6+CG7-CG13-CG17-CG18-CG19</f>
        <v>-14647</v>
      </c>
      <c r="CH20" s="38">
        <f>CH5+CH6+CH7-CH13-CH17-CH18-CH19</f>
        <v>-33542.350999999995</v>
      </c>
      <c r="CI20" s="63">
        <f t="shared" si="23"/>
        <v>0.99299419757837692</v>
      </c>
      <c r="CJ20" s="156">
        <f t="shared" si="9"/>
        <v>14790</v>
      </c>
      <c r="CK20" s="156">
        <f t="shared" si="10"/>
        <v>-19079</v>
      </c>
      <c r="CL20" s="157">
        <f t="shared" si="11"/>
        <v>1241</v>
      </c>
      <c r="CM20" s="158">
        <f t="shared" si="12"/>
        <v>-52709.895499999984</v>
      </c>
      <c r="CN20" s="133">
        <f t="shared" si="24"/>
        <v>2.7627179359505205</v>
      </c>
    </row>
    <row r="21" spans="1:92" ht="15.75" x14ac:dyDescent="0.25">
      <c r="A21" s="3" t="s">
        <v>34</v>
      </c>
      <c r="B21" s="24" t="s">
        <v>35</v>
      </c>
      <c r="C21" s="25">
        <f t="shared" ref="C21:E21" si="93">C20</f>
        <v>-3503</v>
      </c>
      <c r="D21" s="8">
        <f t="shared" si="93"/>
        <v>-21502</v>
      </c>
      <c r="E21" s="12">
        <f t="shared" si="93"/>
        <v>-36268</v>
      </c>
      <c r="F21" s="66">
        <f>+F20</f>
        <v>-80850.559999999998</v>
      </c>
      <c r="G21" s="63">
        <f t="shared" si="13"/>
        <v>3.7601413821970047</v>
      </c>
      <c r="H21" s="64">
        <f t="shared" ref="H21:J21" si="94">H20</f>
        <v>11756</v>
      </c>
      <c r="I21" s="7">
        <f t="shared" si="94"/>
        <v>7360</v>
      </c>
      <c r="J21" s="12">
        <f t="shared" si="94"/>
        <v>-8299</v>
      </c>
      <c r="K21" s="66">
        <f>+K20</f>
        <v>-6868.0980000000018</v>
      </c>
      <c r="L21" s="63">
        <f t="shared" si="25"/>
        <v>-0.93316548913043507</v>
      </c>
      <c r="M21" s="64">
        <f t="shared" ref="M21:O21" si="95">M20</f>
        <v>3372</v>
      </c>
      <c r="N21" s="9">
        <f t="shared" si="95"/>
        <v>1006</v>
      </c>
      <c r="O21" s="105">
        <f t="shared" si="95"/>
        <v>883</v>
      </c>
      <c r="P21" s="66">
        <f>+P20</f>
        <v>1743.4320000000007</v>
      </c>
      <c r="Q21" s="63">
        <f t="shared" si="14"/>
        <v>1.7330337972167005</v>
      </c>
      <c r="R21" s="64">
        <f t="shared" ref="R21:T21" si="96">R20</f>
        <v>2358</v>
      </c>
      <c r="S21" s="11">
        <f t="shared" si="96"/>
        <v>3023</v>
      </c>
      <c r="T21" s="12">
        <f t="shared" si="96"/>
        <v>13552</v>
      </c>
      <c r="U21" s="103">
        <f>+U20</f>
        <v>4573</v>
      </c>
      <c r="V21" s="63">
        <f t="shared" si="15"/>
        <v>1.5127356930201787</v>
      </c>
      <c r="W21" s="129">
        <f t="shared" si="0"/>
        <v>13983</v>
      </c>
      <c r="X21" s="130">
        <f t="shared" si="1"/>
        <v>-10113</v>
      </c>
      <c r="Y21" s="131">
        <f t="shared" si="2"/>
        <v>-30132</v>
      </c>
      <c r="Z21" s="132">
        <f>+Z20</f>
        <v>-81402.225999999995</v>
      </c>
      <c r="AA21" s="133">
        <f t="shared" si="16"/>
        <v>8.049265895382181</v>
      </c>
      <c r="AB21" s="64">
        <f>AB20</f>
        <v>27944</v>
      </c>
      <c r="AC21" s="7">
        <f t="shared" ref="AC21:AD21" si="97">AC20</f>
        <v>28073</v>
      </c>
      <c r="AD21" s="35">
        <f t="shared" si="97"/>
        <v>20312</v>
      </c>
      <c r="AE21" s="66">
        <f>+AE20</f>
        <v>38047.374000000003</v>
      </c>
      <c r="AF21" s="63">
        <f t="shared" si="26"/>
        <v>1.3553013215545187</v>
      </c>
      <c r="AG21" s="64">
        <f>AG20</f>
        <v>20490</v>
      </c>
      <c r="AH21" s="7">
        <f t="shared" ref="AH21:AI21" si="98">AH20</f>
        <v>15785</v>
      </c>
      <c r="AI21" s="35">
        <f t="shared" si="98"/>
        <v>12156</v>
      </c>
      <c r="AJ21" s="65">
        <f>+AJ20</f>
        <v>14750.258</v>
      </c>
      <c r="AK21" s="63">
        <f t="shared" si="27"/>
        <v>0.93444776686727904</v>
      </c>
      <c r="AL21" s="64">
        <f>AL20</f>
        <v>-1807</v>
      </c>
      <c r="AM21" s="7">
        <f t="shared" ref="AM21:AN21" si="99">AM20</f>
        <v>-4552</v>
      </c>
      <c r="AN21" s="35">
        <f t="shared" si="99"/>
        <v>-2133</v>
      </c>
      <c r="AO21" s="65">
        <f>+AO20</f>
        <v>-2980.1729999999998</v>
      </c>
      <c r="AP21" s="63">
        <f t="shared" si="28"/>
        <v>0.65469529876977151</v>
      </c>
      <c r="AQ21" s="64">
        <f>AQ20</f>
        <v>3024</v>
      </c>
      <c r="AR21" s="7">
        <f t="shared" ref="AR21:AS21" si="100">AR20</f>
        <v>3677</v>
      </c>
      <c r="AS21" s="35">
        <f t="shared" si="100"/>
        <v>1491</v>
      </c>
      <c r="AT21" s="65">
        <f>+AT20</f>
        <v>2796.4790000000003</v>
      </c>
      <c r="AU21" s="63">
        <f t="shared" si="29"/>
        <v>0.76053277128093566</v>
      </c>
      <c r="AV21" s="64">
        <f>AV20</f>
        <v>8415</v>
      </c>
      <c r="AW21" s="7">
        <f t="shared" ref="AW21:AX21" si="101">AW20</f>
        <v>13060</v>
      </c>
      <c r="AX21" s="35">
        <f t="shared" si="101"/>
        <v>8508</v>
      </c>
      <c r="AY21" s="65">
        <f>+AY20</f>
        <v>9710.0479999999989</v>
      </c>
      <c r="AZ21" s="63">
        <f t="shared" si="30"/>
        <v>0.74349525267993866</v>
      </c>
      <c r="BA21" s="64">
        <f>BA20</f>
        <v>-30658</v>
      </c>
      <c r="BB21" s="7">
        <f t="shared" ref="BB21:BC21" si="102">BB20</f>
        <v>-34569</v>
      </c>
      <c r="BC21" s="35">
        <f t="shared" si="102"/>
        <v>-16226</v>
      </c>
      <c r="BD21" s="65">
        <f>+BD20</f>
        <v>-35797.21</v>
      </c>
      <c r="BE21" s="63">
        <f t="shared" si="17"/>
        <v>1.0355292313922879</v>
      </c>
      <c r="BF21" s="64">
        <f>BF20</f>
        <v>-1739</v>
      </c>
      <c r="BG21" s="11">
        <f t="shared" ref="BG21:BH21" si="103">BG20</f>
        <v>-1356</v>
      </c>
      <c r="BH21" s="35">
        <f t="shared" si="103"/>
        <v>-2676</v>
      </c>
      <c r="BI21" s="65">
        <f>+BI20</f>
        <v>-3351</v>
      </c>
      <c r="BJ21" s="63">
        <f t="shared" si="18"/>
        <v>2.4712389380530975</v>
      </c>
      <c r="BK21" s="145">
        <f t="shared" si="3"/>
        <v>25669</v>
      </c>
      <c r="BL21" s="131">
        <f t="shared" si="4"/>
        <v>20118</v>
      </c>
      <c r="BM21" s="146">
        <f t="shared" si="5"/>
        <v>21432</v>
      </c>
      <c r="BN21" s="148">
        <f>+BN20</f>
        <v>23175.776000000005</v>
      </c>
      <c r="BO21" s="133">
        <f t="shared" si="19"/>
        <v>1.1519920469231537</v>
      </c>
      <c r="BP21" s="64">
        <f t="shared" ref="BP21:BR21" si="104">BP20</f>
        <v>-1390</v>
      </c>
      <c r="BQ21" s="9">
        <f t="shared" si="104"/>
        <v>5214</v>
      </c>
      <c r="BR21" s="105">
        <f t="shared" si="104"/>
        <v>23859</v>
      </c>
      <c r="BS21" s="66">
        <f>+BS20</f>
        <v>38401.224999999999</v>
      </c>
      <c r="BT21" s="63">
        <f t="shared" si="20"/>
        <v>7.3650220560030686</v>
      </c>
      <c r="BU21" s="64">
        <f t="shared" ref="BU21:BW21" si="105">BU20</f>
        <v>2659</v>
      </c>
      <c r="BV21" s="9">
        <f t="shared" si="105"/>
        <v>-519</v>
      </c>
      <c r="BW21" s="105">
        <f t="shared" si="105"/>
        <v>729</v>
      </c>
      <c r="BX21" s="65">
        <f>+BX20</f>
        <v>657.68049999999857</v>
      </c>
      <c r="BY21" s="63">
        <f t="shared" si="21"/>
        <v>-1.2672071290944096</v>
      </c>
      <c r="BZ21" s="145">
        <f t="shared" si="6"/>
        <v>1269</v>
      </c>
      <c r="CA21" s="131">
        <f t="shared" si="7"/>
        <v>4695</v>
      </c>
      <c r="CB21" s="131">
        <f t="shared" si="8"/>
        <v>24588</v>
      </c>
      <c r="CC21" s="132">
        <f>+CC20</f>
        <v>39058.905499999993</v>
      </c>
      <c r="CD21" s="133">
        <f t="shared" si="22"/>
        <v>8.3192556975505845</v>
      </c>
      <c r="CE21" s="64">
        <v>-26131</v>
      </c>
      <c r="CF21" s="7">
        <f t="shared" ref="CF21" si="106">CF20</f>
        <v>-33779</v>
      </c>
      <c r="CG21" s="12">
        <f>CG20</f>
        <v>-14647</v>
      </c>
      <c r="CH21" s="65">
        <f>+CH20</f>
        <v>-33542.350999999995</v>
      </c>
      <c r="CI21" s="63">
        <f t="shared" si="23"/>
        <v>0.99299419757837692</v>
      </c>
      <c r="CJ21" s="156">
        <f t="shared" si="9"/>
        <v>14790</v>
      </c>
      <c r="CK21" s="156">
        <f t="shared" si="10"/>
        <v>-19079</v>
      </c>
      <c r="CL21" s="157">
        <f t="shared" si="11"/>
        <v>1241</v>
      </c>
      <c r="CM21" s="158">
        <f t="shared" si="12"/>
        <v>-52709.895499999984</v>
      </c>
      <c r="CN21" s="133">
        <f t="shared" si="24"/>
        <v>2.7627179359505205</v>
      </c>
    </row>
    <row r="22" spans="1:92" ht="16.5" thickBot="1" x14ac:dyDescent="0.3">
      <c r="A22" s="3" t="s">
        <v>36</v>
      </c>
      <c r="B22" s="17" t="s">
        <v>37</v>
      </c>
      <c r="C22" s="62">
        <v>302</v>
      </c>
      <c r="D22" s="8"/>
      <c r="E22" s="12"/>
      <c r="F22" s="108"/>
      <c r="G22" s="63"/>
      <c r="H22" s="64"/>
      <c r="I22" s="7"/>
      <c r="J22" s="12"/>
      <c r="K22" s="66"/>
      <c r="L22" s="63"/>
      <c r="M22" s="64"/>
      <c r="N22" s="9"/>
      <c r="O22" s="34"/>
      <c r="P22" s="66"/>
      <c r="Q22" s="63"/>
      <c r="R22" s="64"/>
      <c r="S22" s="11"/>
      <c r="T22" s="12"/>
      <c r="U22" s="118"/>
      <c r="V22" s="63"/>
      <c r="W22" s="129">
        <f t="shared" si="0"/>
        <v>302</v>
      </c>
      <c r="X22" s="130">
        <f t="shared" si="1"/>
        <v>0</v>
      </c>
      <c r="Y22" s="131">
        <f t="shared" si="2"/>
        <v>0</v>
      </c>
      <c r="Z22" s="134"/>
      <c r="AA22" s="133"/>
      <c r="AB22" s="64"/>
      <c r="AC22" s="7"/>
      <c r="AD22" s="12"/>
      <c r="AE22" s="66"/>
      <c r="AF22" s="63"/>
      <c r="AG22" s="64"/>
      <c r="AH22" s="7"/>
      <c r="AI22" s="12"/>
      <c r="AJ22" s="59"/>
      <c r="AK22" s="63"/>
      <c r="AL22" s="64"/>
      <c r="AM22" s="7"/>
      <c r="AN22" s="12"/>
      <c r="AO22" s="59"/>
      <c r="AP22" s="63"/>
      <c r="AQ22" s="64"/>
      <c r="AR22" s="7"/>
      <c r="AS22" s="12"/>
      <c r="AT22" s="59"/>
      <c r="AU22" s="63"/>
      <c r="AV22" s="64"/>
      <c r="AW22" s="7"/>
      <c r="AX22" s="12"/>
      <c r="AY22" s="59"/>
      <c r="AZ22" s="63"/>
      <c r="BA22" s="69"/>
      <c r="BB22" s="26"/>
      <c r="BC22" s="12"/>
      <c r="BD22" s="101"/>
      <c r="BE22" s="63"/>
      <c r="BF22" s="64"/>
      <c r="BG22" s="11"/>
      <c r="BH22" s="34"/>
      <c r="BI22" s="101"/>
      <c r="BJ22" s="63"/>
      <c r="BK22" s="145">
        <f t="shared" si="3"/>
        <v>0</v>
      </c>
      <c r="BL22" s="131">
        <f t="shared" si="4"/>
        <v>0</v>
      </c>
      <c r="BM22" s="146">
        <f t="shared" si="5"/>
        <v>0</v>
      </c>
      <c r="BN22" s="147"/>
      <c r="BO22" s="133"/>
      <c r="BP22" s="64"/>
      <c r="BQ22" s="9"/>
      <c r="BR22" s="34"/>
      <c r="BS22" s="108"/>
      <c r="BT22" s="63"/>
      <c r="BU22" s="64"/>
      <c r="BV22" s="9"/>
      <c r="BW22" s="34"/>
      <c r="BX22" s="101"/>
      <c r="BY22" s="63"/>
      <c r="BZ22" s="145">
        <f t="shared" si="6"/>
        <v>0</v>
      </c>
      <c r="CA22" s="131">
        <f t="shared" si="7"/>
        <v>0</v>
      </c>
      <c r="CB22" s="131">
        <f t="shared" si="8"/>
        <v>0</v>
      </c>
      <c r="CC22" s="153"/>
      <c r="CD22" s="133"/>
      <c r="CE22" s="64"/>
      <c r="CF22" s="7"/>
      <c r="CG22" s="12"/>
      <c r="CH22" s="101"/>
      <c r="CI22" s="63"/>
      <c r="CJ22" s="156">
        <f t="shared" si="9"/>
        <v>302</v>
      </c>
      <c r="CK22" s="156">
        <f t="shared" si="10"/>
        <v>0</v>
      </c>
      <c r="CL22" s="157">
        <f t="shared" si="11"/>
        <v>0</v>
      </c>
      <c r="CM22" s="158">
        <f t="shared" si="12"/>
        <v>0</v>
      </c>
      <c r="CN22" s="133"/>
    </row>
    <row r="23" spans="1:92" ht="16.5" thickBot="1" x14ac:dyDescent="0.3">
      <c r="A23" s="27" t="s">
        <v>38</v>
      </c>
      <c r="B23" s="28" t="s">
        <v>39</v>
      </c>
      <c r="C23" s="70">
        <f t="shared" ref="C23:F23" si="107">C21-C22</f>
        <v>-3805</v>
      </c>
      <c r="D23" s="29">
        <f t="shared" si="107"/>
        <v>-21502</v>
      </c>
      <c r="E23" s="30">
        <f t="shared" si="107"/>
        <v>-36268</v>
      </c>
      <c r="F23" s="119">
        <f t="shared" si="107"/>
        <v>-80850.559999999998</v>
      </c>
      <c r="G23" s="71">
        <f t="shared" si="13"/>
        <v>3.7601413821970047</v>
      </c>
      <c r="H23" s="69">
        <f t="shared" ref="H23:K23" si="108">H21-H22</f>
        <v>11756</v>
      </c>
      <c r="I23" s="26">
        <f t="shared" si="108"/>
        <v>7360</v>
      </c>
      <c r="J23" s="32">
        <f t="shared" si="108"/>
        <v>-8299</v>
      </c>
      <c r="K23" s="102">
        <f t="shared" si="108"/>
        <v>-6868.0980000000018</v>
      </c>
      <c r="L23" s="71">
        <f t="shared" si="25"/>
        <v>-0.93316548913043507</v>
      </c>
      <c r="M23" s="69">
        <f t="shared" ref="M23:P23" si="109">M21-M22</f>
        <v>3372</v>
      </c>
      <c r="N23" s="31">
        <f t="shared" si="109"/>
        <v>1006</v>
      </c>
      <c r="O23" s="36">
        <f t="shared" si="109"/>
        <v>883</v>
      </c>
      <c r="P23" s="39">
        <f t="shared" si="109"/>
        <v>1743.4320000000007</v>
      </c>
      <c r="Q23" s="71">
        <f t="shared" si="14"/>
        <v>1.7330337972167005</v>
      </c>
      <c r="R23" s="69">
        <f t="shared" ref="R23:U23" si="110">R21-R22</f>
        <v>2358</v>
      </c>
      <c r="S23" s="30">
        <f t="shared" si="110"/>
        <v>3023</v>
      </c>
      <c r="T23" s="32">
        <f t="shared" si="110"/>
        <v>13552</v>
      </c>
      <c r="U23" s="120">
        <f t="shared" si="110"/>
        <v>4573</v>
      </c>
      <c r="V23" s="71">
        <f t="shared" si="15"/>
        <v>1.5127356930201787</v>
      </c>
      <c r="W23" s="135">
        <f t="shared" si="0"/>
        <v>13681</v>
      </c>
      <c r="X23" s="136">
        <f t="shared" si="1"/>
        <v>-10113</v>
      </c>
      <c r="Y23" s="137">
        <f t="shared" si="2"/>
        <v>-30132</v>
      </c>
      <c r="Z23" s="138">
        <f t="shared" si="2"/>
        <v>-81402.225999999995</v>
      </c>
      <c r="AA23" s="139">
        <f t="shared" si="16"/>
        <v>8.049265895382181</v>
      </c>
      <c r="AB23" s="69">
        <f>AB21-AB22</f>
        <v>27944</v>
      </c>
      <c r="AC23" s="26">
        <f t="shared" ref="AC23" si="111">AC21-AC22</f>
        <v>28073</v>
      </c>
      <c r="AD23" s="36">
        <f>AD21-AD22</f>
        <v>20312</v>
      </c>
      <c r="AE23" s="102">
        <f>AE21-AE22</f>
        <v>38047.374000000003</v>
      </c>
      <c r="AF23" s="71">
        <f t="shared" si="26"/>
        <v>1.3553013215545187</v>
      </c>
      <c r="AG23" s="69">
        <f>AG21-AG22</f>
        <v>20490</v>
      </c>
      <c r="AH23" s="26">
        <f t="shared" ref="AH23" si="112">AH21-AH22</f>
        <v>15785</v>
      </c>
      <c r="AI23" s="36">
        <f>AI21-AI22</f>
        <v>12156</v>
      </c>
      <c r="AJ23" s="39">
        <f>AJ21-AJ22</f>
        <v>14750.258</v>
      </c>
      <c r="AK23" s="71">
        <f t="shared" si="27"/>
        <v>0.93444776686727904</v>
      </c>
      <c r="AL23" s="69">
        <f t="shared" ref="AL23:AO23" si="113">AL21-AL22</f>
        <v>-1807</v>
      </c>
      <c r="AM23" s="26">
        <f t="shared" si="113"/>
        <v>-4552</v>
      </c>
      <c r="AN23" s="36">
        <f t="shared" si="113"/>
        <v>-2133</v>
      </c>
      <c r="AO23" s="39">
        <f t="shared" si="113"/>
        <v>-2980.1729999999998</v>
      </c>
      <c r="AP23" s="71">
        <f t="shared" si="28"/>
        <v>0.65469529876977151</v>
      </c>
      <c r="AQ23" s="69">
        <f t="shared" ref="AQ23:AT23" si="114">AQ21-AQ22</f>
        <v>3024</v>
      </c>
      <c r="AR23" s="26">
        <f t="shared" si="114"/>
        <v>3677</v>
      </c>
      <c r="AS23" s="36">
        <f t="shared" si="114"/>
        <v>1491</v>
      </c>
      <c r="AT23" s="39">
        <f t="shared" si="114"/>
        <v>2796.4790000000003</v>
      </c>
      <c r="AU23" s="71">
        <f t="shared" si="29"/>
        <v>0.76053277128093566</v>
      </c>
      <c r="AV23" s="69">
        <f t="shared" ref="AV23" si="115">AV21-AV22</f>
        <v>8415</v>
      </c>
      <c r="AW23" s="26">
        <f t="shared" ref="AW23:AY23" si="116">AW21-AW22</f>
        <v>13060</v>
      </c>
      <c r="AX23" s="36">
        <f t="shared" si="116"/>
        <v>8508</v>
      </c>
      <c r="AY23" s="39">
        <f t="shared" si="116"/>
        <v>9710.0479999999989</v>
      </c>
      <c r="AZ23" s="71">
        <f t="shared" si="30"/>
        <v>0.74349525267993866</v>
      </c>
      <c r="BA23" s="110">
        <f t="shared" ref="BA23:BD23" si="117">BA21-BA22</f>
        <v>-30658</v>
      </c>
      <c r="BB23" s="33">
        <f t="shared" si="117"/>
        <v>-34569</v>
      </c>
      <c r="BC23" s="36">
        <f t="shared" si="117"/>
        <v>-16226</v>
      </c>
      <c r="BD23" s="39">
        <f t="shared" si="117"/>
        <v>-35797.21</v>
      </c>
      <c r="BE23" s="71">
        <f t="shared" si="17"/>
        <v>1.0355292313922879</v>
      </c>
      <c r="BF23" s="69">
        <f t="shared" ref="BF23:BI23" si="118">BF21-BF22</f>
        <v>-1739</v>
      </c>
      <c r="BG23" s="30">
        <f t="shared" si="118"/>
        <v>-1356</v>
      </c>
      <c r="BH23" s="36">
        <f t="shared" si="118"/>
        <v>-2676</v>
      </c>
      <c r="BI23" s="39">
        <f t="shared" si="118"/>
        <v>-3351</v>
      </c>
      <c r="BJ23" s="71">
        <f t="shared" si="18"/>
        <v>2.4712389380530975</v>
      </c>
      <c r="BK23" s="149">
        <f t="shared" si="3"/>
        <v>25669</v>
      </c>
      <c r="BL23" s="137">
        <f t="shared" si="4"/>
        <v>20118</v>
      </c>
      <c r="BM23" s="150">
        <f t="shared" si="5"/>
        <v>21432</v>
      </c>
      <c r="BN23" s="151">
        <f t="shared" si="5"/>
        <v>23175.776000000005</v>
      </c>
      <c r="BO23" s="139">
        <f t="shared" si="19"/>
        <v>1.1519920469231537</v>
      </c>
      <c r="BP23" s="69">
        <f t="shared" ref="BP23:BS23" si="119">BP21-BP22</f>
        <v>-1390</v>
      </c>
      <c r="BQ23" s="31">
        <f t="shared" si="119"/>
        <v>5214</v>
      </c>
      <c r="BR23" s="36">
        <f t="shared" si="119"/>
        <v>23859</v>
      </c>
      <c r="BS23" s="109">
        <f t="shared" si="119"/>
        <v>38401.224999999999</v>
      </c>
      <c r="BT23" s="71">
        <f t="shared" si="20"/>
        <v>7.3650220560030686</v>
      </c>
      <c r="BU23" s="69">
        <f t="shared" ref="BU23:BX23" si="120">BU21-BU22</f>
        <v>2659</v>
      </c>
      <c r="BV23" s="31">
        <f t="shared" si="120"/>
        <v>-519</v>
      </c>
      <c r="BW23" s="36">
        <f t="shared" si="120"/>
        <v>729</v>
      </c>
      <c r="BX23" s="39">
        <f t="shared" si="120"/>
        <v>657.68049999999857</v>
      </c>
      <c r="BY23" s="71">
        <f t="shared" si="21"/>
        <v>-1.2672071290944096</v>
      </c>
      <c r="BZ23" s="149">
        <f t="shared" si="6"/>
        <v>1269</v>
      </c>
      <c r="CA23" s="137">
        <f t="shared" si="7"/>
        <v>4695</v>
      </c>
      <c r="CB23" s="137">
        <f t="shared" si="8"/>
        <v>24588</v>
      </c>
      <c r="CC23" s="138">
        <f t="shared" si="8"/>
        <v>39058.905499999993</v>
      </c>
      <c r="CD23" s="139">
        <f t="shared" si="22"/>
        <v>8.3192556975505845</v>
      </c>
      <c r="CE23" s="69">
        <v>-26131</v>
      </c>
      <c r="CF23" s="26">
        <f t="shared" ref="CF23" si="121">CF21-CF22</f>
        <v>-33779</v>
      </c>
      <c r="CG23" s="32">
        <f>CG21-CG22</f>
        <v>-14647</v>
      </c>
      <c r="CH23" s="102">
        <f>CH21-CH22</f>
        <v>-33542.350999999995</v>
      </c>
      <c r="CI23" s="71">
        <f t="shared" si="23"/>
        <v>0.99299419757837692</v>
      </c>
      <c r="CJ23" s="159">
        <f t="shared" si="9"/>
        <v>14488</v>
      </c>
      <c r="CK23" s="159">
        <f t="shared" si="10"/>
        <v>-19079</v>
      </c>
      <c r="CL23" s="160">
        <f t="shared" si="11"/>
        <v>1241</v>
      </c>
      <c r="CM23" s="161">
        <f t="shared" si="12"/>
        <v>-52709.895499999984</v>
      </c>
      <c r="CN23" s="139">
        <f t="shared" si="24"/>
        <v>2.7627179359505205</v>
      </c>
    </row>
    <row r="24" spans="1:92" x14ac:dyDescent="0.25">
      <c r="AE24" s="53"/>
      <c r="BK24" s="75"/>
      <c r="CJ24" s="61"/>
    </row>
    <row r="25" spans="1:92" x14ac:dyDescent="0.25">
      <c r="AE25" s="53"/>
      <c r="BK25" s="75"/>
      <c r="CJ25" s="61"/>
    </row>
    <row r="26" spans="1:92" x14ac:dyDescent="0.25">
      <c r="AE26" s="53"/>
      <c r="BK26" s="75"/>
      <c r="CJ26" s="61"/>
    </row>
    <row r="27" spans="1:92" x14ac:dyDescent="0.25">
      <c r="AE27" s="53"/>
      <c r="BK27" s="75"/>
      <c r="CJ27" s="61"/>
    </row>
    <row r="28" spans="1:92" x14ac:dyDescent="0.25">
      <c r="AE28" s="53"/>
      <c r="BK28" s="75"/>
      <c r="CJ28" s="61"/>
    </row>
    <row r="29" spans="1:92" x14ac:dyDescent="0.25">
      <c r="AE29" s="53"/>
      <c r="BK29" s="75"/>
      <c r="CJ29" s="61"/>
    </row>
    <row r="30" spans="1:92" x14ac:dyDescent="0.25">
      <c r="AE30" s="53"/>
      <c r="BK30" s="75"/>
      <c r="CJ30" s="61"/>
    </row>
    <row r="31" spans="1:92" x14ac:dyDescent="0.25">
      <c r="AE31" s="53"/>
      <c r="BK31" s="75"/>
      <c r="CJ31" s="61"/>
    </row>
    <row r="32" spans="1:92" x14ac:dyDescent="0.25">
      <c r="AE32" s="53"/>
      <c r="BK32" s="75"/>
      <c r="CJ32" s="61"/>
    </row>
    <row r="33" spans="31:88" x14ac:dyDescent="0.25">
      <c r="AE33" s="53"/>
      <c r="BK33" s="75"/>
      <c r="CJ33" s="61"/>
    </row>
    <row r="34" spans="31:88" x14ac:dyDescent="0.25">
      <c r="AE34" s="53"/>
      <c r="BK34" s="75"/>
      <c r="CJ34" s="61"/>
    </row>
    <row r="35" spans="31:88" x14ac:dyDescent="0.25">
      <c r="AE35" s="53"/>
      <c r="BK35" s="75"/>
      <c r="CJ35" s="61"/>
    </row>
    <row r="36" spans="31:88" x14ac:dyDescent="0.25">
      <c r="AE36" s="53"/>
      <c r="BK36" s="75"/>
      <c r="CJ36" s="61"/>
    </row>
    <row r="37" spans="31:88" x14ac:dyDescent="0.25">
      <c r="AE37" s="53"/>
      <c r="BK37" s="75"/>
      <c r="CJ37" s="61"/>
    </row>
    <row r="38" spans="31:88" x14ac:dyDescent="0.25">
      <c r="AE38" s="53"/>
      <c r="BK38" s="75"/>
      <c r="CJ38" s="61"/>
    </row>
    <row r="39" spans="31:88" x14ac:dyDescent="0.25">
      <c r="AE39" s="53"/>
      <c r="BK39" s="75"/>
      <c r="CJ39" s="61"/>
    </row>
    <row r="40" spans="31:88" x14ac:dyDescent="0.25">
      <c r="AE40" s="53"/>
      <c r="BK40" s="75"/>
      <c r="CJ40" s="61"/>
    </row>
    <row r="41" spans="31:88" x14ac:dyDescent="0.25">
      <c r="AE41" s="53"/>
      <c r="BK41" s="75"/>
      <c r="CJ41" s="61"/>
    </row>
    <row r="42" spans="31:88" x14ac:dyDescent="0.25">
      <c r="AE42" s="53"/>
      <c r="BK42" s="75"/>
      <c r="CJ42" s="61"/>
    </row>
    <row r="43" spans="31:88" x14ac:dyDescent="0.25">
      <c r="AE43" s="53"/>
      <c r="BK43" s="75"/>
      <c r="CJ43" s="61"/>
    </row>
    <row r="44" spans="31:88" x14ac:dyDescent="0.25">
      <c r="AE44" s="53"/>
      <c r="BK44" s="75"/>
      <c r="CJ44" s="61"/>
    </row>
    <row r="45" spans="31:88" x14ac:dyDescent="0.25">
      <c r="AE45" s="53"/>
      <c r="BK45" s="75"/>
      <c r="CJ45" s="61"/>
    </row>
    <row r="46" spans="31:88" x14ac:dyDescent="0.25">
      <c r="AE46" s="53"/>
      <c r="BK46" s="75"/>
      <c r="CJ46" s="61"/>
    </row>
  </sheetData>
  <mergeCells count="41">
    <mergeCell ref="T3:U3"/>
    <mergeCell ref="AD3:AE3"/>
    <mergeCell ref="E3:F3"/>
    <mergeCell ref="J3:K3"/>
    <mergeCell ref="O3:P3"/>
    <mergeCell ref="C2:G2"/>
    <mergeCell ref="H2:L2"/>
    <mergeCell ref="M2:Q2"/>
    <mergeCell ref="R2:V2"/>
    <mergeCell ref="AB2:AF2"/>
    <mergeCell ref="BA2:BE2"/>
    <mergeCell ref="BF2:BJ2"/>
    <mergeCell ref="BH3:BI3"/>
    <mergeCell ref="AB1:BJ1"/>
    <mergeCell ref="BP2:BT2"/>
    <mergeCell ref="BR3:BS3"/>
    <mergeCell ref="BC3:BD3"/>
    <mergeCell ref="AG2:AK2"/>
    <mergeCell ref="AS3:AT3"/>
    <mergeCell ref="AX3:AY3"/>
    <mergeCell ref="AL2:AP2"/>
    <mergeCell ref="AQ2:AU2"/>
    <mergeCell ref="AV2:AZ2"/>
    <mergeCell ref="AI3:AJ3"/>
    <mergeCell ref="AN3:AO3"/>
    <mergeCell ref="CE1:CI1"/>
    <mergeCell ref="CJ1:CN1"/>
    <mergeCell ref="W2:AA2"/>
    <mergeCell ref="Y3:Z3"/>
    <mergeCell ref="C1:AA1"/>
    <mergeCell ref="BK2:BO2"/>
    <mergeCell ref="BM3:BN3"/>
    <mergeCell ref="CB3:CC3"/>
    <mergeCell ref="BZ2:CD2"/>
    <mergeCell ref="BP1:CD1"/>
    <mergeCell ref="BU2:BY2"/>
    <mergeCell ref="BW3:BX3"/>
    <mergeCell ref="CE2:CI2"/>
    <mergeCell ref="CG3:CH3"/>
    <mergeCell ref="CJ2:CN2"/>
    <mergeCell ref="CL3:C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="110" zoomScaleNormal="110" workbookViewId="0">
      <selection activeCell="F23" sqref="F23"/>
    </sheetView>
  </sheetViews>
  <sheetFormatPr defaultColWidth="8.85546875" defaultRowHeight="12" x14ac:dyDescent="0.2"/>
  <cols>
    <col min="1" max="1" width="8.85546875" style="13"/>
    <col min="2" max="2" width="50.5703125" style="13" customWidth="1"/>
    <col min="3" max="4" width="8.85546875" style="13"/>
    <col min="5" max="5" width="11" style="13" customWidth="1"/>
    <col min="6" max="6" width="8.85546875" style="90"/>
    <col min="7" max="7" width="8.85546875" style="76"/>
    <col min="8" max="16384" width="8.85546875" style="13"/>
  </cols>
  <sheetData>
    <row r="1" spans="1:7" ht="16.5" thickBot="1" x14ac:dyDescent="0.25">
      <c r="A1" s="1"/>
      <c r="B1" s="91"/>
      <c r="C1" s="84" t="s">
        <v>40</v>
      </c>
      <c r="D1" s="85" t="s">
        <v>42</v>
      </c>
      <c r="E1" s="186">
        <v>2020</v>
      </c>
      <c r="F1" s="187"/>
      <c r="G1" s="86" t="s">
        <v>56</v>
      </c>
    </row>
    <row r="2" spans="1:7" ht="16.5" thickBot="1" x14ac:dyDescent="0.25">
      <c r="A2" s="14"/>
      <c r="B2" s="92"/>
      <c r="C2" s="84"/>
      <c r="D2" s="85"/>
      <c r="E2" s="85" t="s">
        <v>43</v>
      </c>
      <c r="F2" s="87" t="s">
        <v>44</v>
      </c>
      <c r="G2" s="86"/>
    </row>
    <row r="3" spans="1:7" ht="15.75" x14ac:dyDescent="0.25">
      <c r="A3" s="3" t="s">
        <v>2</v>
      </c>
      <c r="B3" s="93" t="s">
        <v>3</v>
      </c>
      <c r="C3" s="80">
        <v>399311</v>
      </c>
      <c r="D3" s="82">
        <v>404050</v>
      </c>
      <c r="E3" s="82">
        <v>131128</v>
      </c>
      <c r="F3" s="88">
        <v>307255</v>
      </c>
      <c r="G3" s="77">
        <v>0.76043806459596586</v>
      </c>
    </row>
    <row r="4" spans="1:7" ht="15.75" x14ac:dyDescent="0.25">
      <c r="A4" s="3" t="s">
        <v>4</v>
      </c>
      <c r="B4" s="93" t="s">
        <v>5</v>
      </c>
      <c r="C4" s="80">
        <v>0</v>
      </c>
      <c r="D4" s="82">
        <v>0</v>
      </c>
      <c r="E4" s="82">
        <v>0</v>
      </c>
      <c r="F4" s="88">
        <v>0</v>
      </c>
      <c r="G4" s="77"/>
    </row>
    <row r="5" spans="1:7" ht="15.75" x14ac:dyDescent="0.25">
      <c r="A5" s="3" t="s">
        <v>6</v>
      </c>
      <c r="B5" s="94" t="s">
        <v>7</v>
      </c>
      <c r="C5" s="80">
        <v>265818</v>
      </c>
      <c r="D5" s="82">
        <v>285168</v>
      </c>
      <c r="E5" s="82">
        <v>154209</v>
      </c>
      <c r="F5" s="88">
        <v>260209</v>
      </c>
      <c r="G5" s="77">
        <v>0.91247615440722663</v>
      </c>
    </row>
    <row r="6" spans="1:7" ht="15.75" x14ac:dyDescent="0.25">
      <c r="A6" s="3" t="s">
        <v>8</v>
      </c>
      <c r="B6" s="94" t="s">
        <v>9</v>
      </c>
      <c r="C6" s="80">
        <v>130630</v>
      </c>
      <c r="D6" s="82">
        <v>128487</v>
      </c>
      <c r="E6" s="82">
        <v>63601</v>
      </c>
      <c r="F6" s="88">
        <v>120228</v>
      </c>
      <c r="G6" s="77">
        <v>0.9357211235377898</v>
      </c>
    </row>
    <row r="7" spans="1:7" ht="15.75" x14ac:dyDescent="0.25">
      <c r="A7" s="3" t="s">
        <v>10</v>
      </c>
      <c r="B7" s="94" t="s">
        <v>11</v>
      </c>
      <c r="C7" s="80">
        <v>183636</v>
      </c>
      <c r="D7" s="82">
        <v>187762</v>
      </c>
      <c r="E7" s="82">
        <v>64450</v>
      </c>
      <c r="F7" s="88">
        <v>176027</v>
      </c>
      <c r="G7" s="77">
        <v>0.937500665736411</v>
      </c>
    </row>
    <row r="8" spans="1:7" ht="15.75" x14ac:dyDescent="0.25">
      <c r="A8" s="3" t="s">
        <v>12</v>
      </c>
      <c r="B8" s="94" t="s">
        <v>13</v>
      </c>
      <c r="C8" s="80">
        <v>9844</v>
      </c>
      <c r="D8" s="82">
        <v>10228</v>
      </c>
      <c r="E8" s="82">
        <v>3207</v>
      </c>
      <c r="F8" s="88">
        <v>9210</v>
      </c>
      <c r="G8" s="77">
        <v>0.90046929996089164</v>
      </c>
    </row>
    <row r="9" spans="1:7" ht="15.75" x14ac:dyDescent="0.25">
      <c r="A9" s="3" t="s">
        <v>14</v>
      </c>
      <c r="B9" s="94" t="s">
        <v>15</v>
      </c>
      <c r="C9" s="80">
        <v>7985</v>
      </c>
      <c r="D9" s="82">
        <v>8566</v>
      </c>
      <c r="E9" s="82">
        <v>3316</v>
      </c>
      <c r="F9" s="88">
        <v>7584</v>
      </c>
      <c r="G9" s="77">
        <v>0.88536072846135883</v>
      </c>
    </row>
    <row r="10" spans="1:7" ht="15.75" x14ac:dyDescent="0.25">
      <c r="A10" s="3" t="s">
        <v>16</v>
      </c>
      <c r="B10" s="94" t="s">
        <v>17</v>
      </c>
      <c r="C10" s="80">
        <v>0</v>
      </c>
      <c r="D10" s="82">
        <v>0</v>
      </c>
      <c r="E10" s="82">
        <v>0</v>
      </c>
      <c r="F10" s="88">
        <v>0</v>
      </c>
      <c r="G10" s="77"/>
    </row>
    <row r="11" spans="1:7" ht="15.75" x14ac:dyDescent="0.25">
      <c r="A11" s="3" t="s">
        <v>18</v>
      </c>
      <c r="B11" s="95" t="s">
        <v>19</v>
      </c>
      <c r="C11" s="80">
        <v>332095</v>
      </c>
      <c r="D11" s="82">
        <v>335043</v>
      </c>
      <c r="E11" s="82">
        <v>134574</v>
      </c>
      <c r="F11" s="88">
        <v>313049</v>
      </c>
      <c r="G11" s="77">
        <v>0.93435469477052202</v>
      </c>
    </row>
    <row r="12" spans="1:7" ht="15.75" x14ac:dyDescent="0.25">
      <c r="A12" s="3" t="s">
        <v>20</v>
      </c>
      <c r="B12" s="94" t="s">
        <v>21</v>
      </c>
      <c r="C12" s="80">
        <v>215994</v>
      </c>
      <c r="D12" s="82">
        <v>256114</v>
      </c>
      <c r="E12" s="82">
        <v>118918</v>
      </c>
      <c r="F12" s="88">
        <v>256743.16800000001</v>
      </c>
      <c r="G12" s="77">
        <v>1.0024565935481855</v>
      </c>
    </row>
    <row r="13" spans="1:7" ht="15.75" x14ac:dyDescent="0.25">
      <c r="A13" s="3" t="s">
        <v>22</v>
      </c>
      <c r="B13" s="94" t="s">
        <v>23</v>
      </c>
      <c r="C13" s="80">
        <v>15886</v>
      </c>
      <c r="D13" s="82">
        <v>16404</v>
      </c>
      <c r="E13" s="82">
        <v>4952</v>
      </c>
      <c r="F13" s="88">
        <v>0</v>
      </c>
      <c r="G13" s="77">
        <v>0</v>
      </c>
    </row>
    <row r="14" spans="1:7" ht="15.75" x14ac:dyDescent="0.25">
      <c r="A14" s="3" t="s">
        <v>24</v>
      </c>
      <c r="B14" s="94" t="s">
        <v>25</v>
      </c>
      <c r="C14" s="80">
        <v>39859</v>
      </c>
      <c r="D14" s="82">
        <v>44794</v>
      </c>
      <c r="E14" s="82">
        <v>8390</v>
      </c>
      <c r="F14" s="88">
        <v>31146.727500000001</v>
      </c>
      <c r="G14" s="77">
        <v>0.69533257802384252</v>
      </c>
    </row>
    <row r="15" spans="1:7" ht="15.75" x14ac:dyDescent="0.25">
      <c r="A15" s="3" t="s">
        <v>26</v>
      </c>
      <c r="B15" s="94" t="s">
        <v>27</v>
      </c>
      <c r="C15" s="80">
        <v>271739</v>
      </c>
      <c r="D15" s="82">
        <v>317312</v>
      </c>
      <c r="E15" s="82">
        <v>132260</v>
      </c>
      <c r="F15" s="88">
        <v>287889.89550000004</v>
      </c>
      <c r="G15" s="77">
        <v>0.90727705066306996</v>
      </c>
    </row>
    <row r="16" spans="1:7" ht="15.75" x14ac:dyDescent="0.25">
      <c r="A16" s="3" t="s">
        <v>28</v>
      </c>
      <c r="B16" s="94" t="s">
        <v>29</v>
      </c>
      <c r="C16" s="80">
        <v>34153</v>
      </c>
      <c r="D16" s="82">
        <v>38600</v>
      </c>
      <c r="E16" s="82">
        <v>17094</v>
      </c>
      <c r="F16" s="88">
        <v>37635</v>
      </c>
      <c r="G16" s="77">
        <v>0.97499999999999998</v>
      </c>
    </row>
    <row r="17" spans="1:7" ht="15.75" x14ac:dyDescent="0.25">
      <c r="A17" s="3" t="s">
        <v>30</v>
      </c>
      <c r="B17" s="94" t="s">
        <v>31</v>
      </c>
      <c r="C17" s="80">
        <v>12352</v>
      </c>
      <c r="D17" s="82">
        <v>17342</v>
      </c>
      <c r="E17" s="82">
        <v>168</v>
      </c>
      <c r="F17" s="88">
        <v>17813</v>
      </c>
      <c r="G17" s="77">
        <v>1.0271594971744897</v>
      </c>
    </row>
    <row r="18" spans="1:7" ht="15.75" x14ac:dyDescent="0.2">
      <c r="A18" s="18" t="s">
        <v>32</v>
      </c>
      <c r="B18" s="96" t="s">
        <v>33</v>
      </c>
      <c r="C18" s="80">
        <v>14790</v>
      </c>
      <c r="D18" s="82">
        <v>-19079</v>
      </c>
      <c r="E18" s="82">
        <v>1241</v>
      </c>
      <c r="F18" s="88">
        <v>-88922.895499999984</v>
      </c>
      <c r="G18" s="77">
        <v>4.6607733895906485</v>
      </c>
    </row>
    <row r="19" spans="1:7" ht="15.75" x14ac:dyDescent="0.25">
      <c r="A19" s="3" t="s">
        <v>34</v>
      </c>
      <c r="B19" s="97" t="s">
        <v>35</v>
      </c>
      <c r="C19" s="80">
        <v>14790</v>
      </c>
      <c r="D19" s="82">
        <v>-19079</v>
      </c>
      <c r="E19" s="82">
        <v>1241</v>
      </c>
      <c r="F19" s="88">
        <v>-88922.895499999984</v>
      </c>
      <c r="G19" s="77">
        <v>4.6607733895906485</v>
      </c>
    </row>
    <row r="20" spans="1:7" ht="15.75" x14ac:dyDescent="0.25">
      <c r="A20" s="3" t="s">
        <v>36</v>
      </c>
      <c r="B20" s="95" t="s">
        <v>37</v>
      </c>
      <c r="C20" s="80">
        <v>302</v>
      </c>
      <c r="D20" s="82">
        <v>0</v>
      </c>
      <c r="E20" s="82">
        <v>0</v>
      </c>
      <c r="F20" s="88">
        <v>0</v>
      </c>
      <c r="G20" s="77"/>
    </row>
    <row r="21" spans="1:7" ht="16.5" thickBot="1" x14ac:dyDescent="0.3">
      <c r="A21" s="27" t="s">
        <v>38</v>
      </c>
      <c r="B21" s="98" t="s">
        <v>39</v>
      </c>
      <c r="C21" s="81">
        <v>14488</v>
      </c>
      <c r="D21" s="83">
        <v>-19079</v>
      </c>
      <c r="E21" s="78">
        <v>1241</v>
      </c>
      <c r="F21" s="89">
        <v>-88922.895499999984</v>
      </c>
      <c r="G21" s="79">
        <v>4.6607733895906485</v>
      </c>
    </row>
  </sheetData>
  <mergeCells count="1">
    <mergeCell ref="E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Alpolgármesteri Titkárság</cp:lastModifiedBy>
  <dcterms:created xsi:type="dcterms:W3CDTF">2020-07-22T11:22:55Z</dcterms:created>
  <dcterms:modified xsi:type="dcterms:W3CDTF">2020-08-18T12:01:32Z</dcterms:modified>
</cp:coreProperties>
</file>